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1355" windowHeight="5325" activeTab="1"/>
  </bookViews>
  <sheets>
    <sheet name="Balance Sheet Snapshot" sheetId="3" r:id="rId1"/>
    <sheet name="P&amp;L Snapshot" sheetId="2" r:id="rId2"/>
  </sheets>
  <definedNames>
    <definedName name="_xlnm.Print_Area" localSheetId="0">'Balance Sheet Snapshot'!$A$1:$N$44</definedName>
    <definedName name="_xlnm.Print_Area" localSheetId="1">'P&amp;L Snapshot'!$A$2:$P$41</definedName>
  </definedNames>
  <calcPr calcId="124519"/>
</workbook>
</file>

<file path=xl/calcChain.xml><?xml version="1.0" encoding="utf-8"?>
<calcChain xmlns="http://schemas.openxmlformats.org/spreadsheetml/2006/main">
  <c r="C36" i="3"/>
  <c r="E24" i="2" l="1"/>
  <c r="E30" s="1"/>
  <c r="D36" i="3" l="1"/>
  <c r="G24" i="2"/>
  <c r="G30" s="1"/>
  <c r="I24"/>
  <c r="H24"/>
  <c r="F24"/>
  <c r="F30" l="1"/>
  <c r="H30"/>
  <c r="M20"/>
  <c r="N20"/>
  <c r="L20"/>
  <c r="J20"/>
  <c r="K20"/>
  <c r="P20"/>
  <c r="O20"/>
  <c r="M26" l="1"/>
  <c r="P26"/>
  <c r="O26"/>
  <c r="N8"/>
  <c r="L26"/>
  <c r="J8"/>
  <c r="M26" i="3"/>
  <c r="L22"/>
  <c r="I26"/>
  <c r="H26"/>
  <c r="N26"/>
  <c r="L26"/>
  <c r="K26"/>
  <c r="J26"/>
  <c r="N26" i="2" l="1"/>
  <c r="K26"/>
  <c r="J26"/>
  <c r="P16"/>
  <c r="O16"/>
  <c r="N16"/>
  <c r="M16"/>
  <c r="L16"/>
  <c r="K16"/>
  <c r="J16"/>
  <c r="P8" l="1"/>
  <c r="O8"/>
  <c r="M8"/>
  <c r="L8"/>
  <c r="K8"/>
  <c r="H22" i="3"/>
  <c r="K12" i="2"/>
  <c r="K36"/>
  <c r="L36"/>
  <c r="M36"/>
  <c r="N36"/>
  <c r="O36"/>
  <c r="P36"/>
  <c r="J12"/>
  <c r="J24" s="1"/>
  <c r="H34" i="3"/>
  <c r="H36" s="1"/>
  <c r="H8"/>
  <c r="I36"/>
  <c r="I22"/>
  <c r="J22"/>
  <c r="P14" i="2"/>
  <c r="P22"/>
  <c r="O10"/>
  <c r="N12"/>
  <c r="N14"/>
  <c r="L12"/>
  <c r="M12"/>
  <c r="M14"/>
  <c r="L10"/>
  <c r="J34" i="3"/>
  <c r="J36" s="1"/>
  <c r="N36"/>
  <c r="N18"/>
  <c r="N8"/>
  <c r="M36"/>
  <c r="L34"/>
  <c r="L36" s="1"/>
  <c r="L10"/>
  <c r="K14"/>
  <c r="K34"/>
  <c r="K36" s="1"/>
  <c r="K22"/>
  <c r="K8"/>
  <c r="N24" i="2" l="1"/>
  <c r="N30" s="1"/>
  <c r="K24"/>
  <c r="L24"/>
  <c r="M24"/>
  <c r="M30" s="1"/>
  <c r="O24"/>
  <c r="O30" s="1"/>
  <c r="K30"/>
  <c r="P24"/>
  <c r="P30" s="1"/>
  <c r="J30"/>
  <c r="I30" l="1"/>
</calcChain>
</file>

<file path=xl/sharedStrings.xml><?xml version="1.0" encoding="utf-8"?>
<sst xmlns="http://schemas.openxmlformats.org/spreadsheetml/2006/main" count="66" uniqueCount="61">
  <si>
    <t>MAHINDRA &amp; MAHINDRA LIMITED</t>
  </si>
  <si>
    <t>Materials</t>
  </si>
  <si>
    <t>Excise Duty (Net)</t>
  </si>
  <si>
    <t xml:space="preserve">Personnel </t>
  </si>
  <si>
    <t>Other Expenses</t>
  </si>
  <si>
    <t xml:space="preserve">Exceptional items </t>
  </si>
  <si>
    <t>Profit before tax for the year</t>
  </si>
  <si>
    <t>Adj. pertaining to Prev. Years</t>
  </si>
  <si>
    <t>Balance profit</t>
  </si>
  <si>
    <t>Dividends</t>
  </si>
  <si>
    <t>Equity Dividend (%)</t>
  </si>
  <si>
    <t>#  Proposed Dividend.</t>
  </si>
  <si>
    <t>Gross Fixed Assets</t>
  </si>
  <si>
    <t>Net Fixed Assets</t>
  </si>
  <si>
    <t>Intangible Assets</t>
  </si>
  <si>
    <t xml:space="preserve">Investments </t>
  </si>
  <si>
    <t>Inventories</t>
  </si>
  <si>
    <t>Misc.  Expenditure not written off</t>
  </si>
  <si>
    <t>Borrowings</t>
  </si>
  <si>
    <t>Equity Capital</t>
  </si>
  <si>
    <t>Net Worth</t>
  </si>
  <si>
    <t>Book Value Per Share (Rupees)</t>
  </si>
  <si>
    <t>*123.29</t>
  </si>
  <si>
    <t xml:space="preserve"># After giving effect of the Guidance Note on Accounting for Employee Share-based Payments issued by the Institute of Chartered Accountants of India. </t>
  </si>
  <si>
    <t>+172</t>
  </si>
  <si>
    <t xml:space="preserve"> + 72</t>
  </si>
  <si>
    <t>+325</t>
  </si>
  <si>
    <t>+278</t>
  </si>
  <si>
    <t>+321</t>
  </si>
  <si>
    <t>▲ Profit of Mahindra Holdings and Finance Limited for the period 1st February, 2008 to 31st March, 2008.</t>
  </si>
  <si>
    <t>▲31</t>
  </si>
  <si>
    <t>+312</t>
  </si>
  <si>
    <t xml:space="preserve">     into two Ordinary (Equity) Shares of Rs.5 each fully paid up in March, 2010. </t>
  </si>
  <si>
    <t>@138.10</t>
  </si>
  <si>
    <t>+624</t>
  </si>
  <si>
    <t>As per Old Schedule VI</t>
  </si>
  <si>
    <t>As per Revised Schedule VI</t>
  </si>
  <si>
    <t>Income</t>
  </si>
  <si>
    <t>+ 803</t>
  </si>
  <si>
    <t>Depreciation and Amortisation Expense</t>
  </si>
  <si>
    <t>+  Including Income-tax on Proposed Dividend/Dividends.</t>
  </si>
  <si>
    <t>Other Non Current/Current Assets</t>
  </si>
  <si>
    <t>Finance Costs/Interest</t>
  </si>
  <si>
    <t xml:space="preserve">Trade Receivable/Debtors </t>
  </si>
  <si>
    <t>Long Term/Current Liabilities and Provisions</t>
  </si>
  <si>
    <t>Deferred Tax Liabilities/(Assets) (Net)</t>
  </si>
  <si>
    <t>Foreign Currency Monetary Item Translation Difference Account Asset/(Liability)</t>
  </si>
  <si>
    <t>Tax for the year</t>
  </si>
  <si>
    <t>Reserves and Surplus</t>
  </si>
  <si>
    <t>+869</t>
  </si>
  <si>
    <t>+891</t>
  </si>
  <si>
    <t>Rupees in crores</t>
  </si>
  <si>
    <t xml:space="preserve">@ Book Value Per Share is shown after giving effect to the sub division of each Ordinary (Equity) Share of the face value Rs.10 each fully paid up </t>
  </si>
  <si>
    <t xml:space="preserve">  Book Value Per Share is calculated after reducing  Misc. Expenditure not written off and Revaluation Reserve from Net Worth.</t>
  </si>
  <si>
    <t xml:space="preserve">Earnings Per Share (Rupees) </t>
  </si>
  <si>
    <t>+963</t>
  </si>
  <si>
    <t>#+847</t>
  </si>
  <si>
    <t>1 crore = 10 million</t>
  </si>
  <si>
    <r>
      <t>*</t>
    </r>
    <r>
      <rPr>
        <sz val="12"/>
        <rFont val="Arial"/>
        <family val="2"/>
      </rPr>
      <t xml:space="preserve"> Book Value Per Share is shown after giving effect to a 1:1 bonus issue in September, 2005.</t>
    </r>
  </si>
  <si>
    <t>Financial position at a glance</t>
  </si>
  <si>
    <t>Rupees Crores</t>
  </si>
</sst>
</file>

<file path=xl/styles.xml><?xml version="1.0" encoding="utf-8"?>
<styleSheet xmlns="http://schemas.openxmlformats.org/spreadsheetml/2006/main">
  <numFmts count="10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##0_);_(* \(###0\);_(* &quot;-&quot;_);_(@_)"/>
    <numFmt numFmtId="168" formatCode="_(* ###0.00_);_(* \(###0.00\);_(* &quot;-&quot;_);_(@_)"/>
    <numFmt numFmtId="169" formatCode="_(* #,##0_);_(* \(#,##0\);_(* &quot;-&quot;??_);_(@_)"/>
    <numFmt numFmtId="170" formatCode=";;;"/>
    <numFmt numFmtId="171" formatCode="0_);\(0\)"/>
    <numFmt numFmtId="172" formatCode="0.00_);\(0.00\)"/>
    <numFmt numFmtId="173" formatCode="_(* #,##0.0_);_(* \(#,##0.0\);_(* &quot;-&quot;??_);_(@_)"/>
  </numFmts>
  <fonts count="1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sz val="14"/>
      <color rgb="FFFF0000"/>
      <name val="Arial"/>
      <family val="2"/>
    </font>
    <font>
      <i/>
      <sz val="14"/>
      <name val="Arial"/>
      <family val="2"/>
    </font>
    <font>
      <i/>
      <sz val="10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51">
    <xf numFmtId="0" fontId="0" fillId="0" borderId="0" xfId="0"/>
    <xf numFmtId="164" fontId="4" fillId="0" borderId="0" xfId="0" applyNumberFormat="1" applyFont="1"/>
    <xf numFmtId="1" fontId="1" fillId="0" borderId="0" xfId="0" applyNumberFormat="1" applyFont="1" applyBorder="1" applyAlignment="1">
      <alignment horizontal="center"/>
    </xf>
    <xf numFmtId="164" fontId="5" fillId="0" borderId="1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0" xfId="0" applyNumberFormat="1" applyFont="1"/>
    <xf numFmtId="0" fontId="1" fillId="0" borderId="2" xfId="0" applyNumberFormat="1" applyFont="1" applyBorder="1"/>
    <xf numFmtId="0" fontId="1" fillId="0" borderId="0" xfId="0" applyNumberFormat="1" applyFont="1" applyAlignment="1">
      <alignment horizontal="right"/>
    </xf>
    <xf numFmtId="166" fontId="4" fillId="0" borderId="0" xfId="0" applyNumberFormat="1" applyFont="1"/>
    <xf numFmtId="169" fontId="4" fillId="0" borderId="0" xfId="1" applyNumberFormat="1" applyFont="1"/>
    <xf numFmtId="164" fontId="2" fillId="0" borderId="0" xfId="0" applyNumberFormat="1" applyFont="1"/>
    <xf numFmtId="164" fontId="2" fillId="0" borderId="0" xfId="0" applyNumberFormat="1" applyFont="1" applyBorder="1" applyAlignment="1">
      <alignment horizontal="right"/>
    </xf>
    <xf numFmtId="164" fontId="1" fillId="0" borderId="5" xfId="0" applyNumberFormat="1" applyFont="1" applyBorder="1" applyAlignment="1"/>
    <xf numFmtId="164" fontId="2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center"/>
    </xf>
    <xf numFmtId="169" fontId="1" fillId="0" borderId="4" xfId="1" applyNumberFormat="1" applyFont="1" applyBorder="1" applyAlignment="1">
      <alignment horizontal="center"/>
    </xf>
    <xf numFmtId="169" fontId="1" fillId="0" borderId="5" xfId="1" applyNumberFormat="1" applyFont="1" applyBorder="1" applyAlignment="1">
      <alignment horizontal="center"/>
    </xf>
    <xf numFmtId="169" fontId="1" fillId="0" borderId="6" xfId="1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169" fontId="2" fillId="0" borderId="0" xfId="1" applyNumberFormat="1" applyFont="1"/>
    <xf numFmtId="164" fontId="2" fillId="0" borderId="1" xfId="0" applyNumberFormat="1" applyFont="1" applyBorder="1"/>
    <xf numFmtId="1" fontId="7" fillId="0" borderId="7" xfId="1" applyNumberFormat="1" applyFont="1" applyBorder="1" applyAlignment="1">
      <alignment horizontal="right"/>
    </xf>
    <xf numFmtId="1" fontId="7" fillId="0" borderId="8" xfId="1" applyNumberFormat="1" applyFont="1" applyBorder="1" applyAlignment="1">
      <alignment horizontal="right"/>
    </xf>
    <xf numFmtId="1" fontId="7" fillId="0" borderId="9" xfId="1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64" fontId="2" fillId="0" borderId="10" xfId="0" applyNumberFormat="1" applyFont="1" applyBorder="1"/>
    <xf numFmtId="169" fontId="2" fillId="0" borderId="1" xfId="1" applyNumberFormat="1" applyFont="1" applyBorder="1" applyAlignment="1">
      <alignment horizontal="right"/>
    </xf>
    <xf numFmtId="169" fontId="2" fillId="0" borderId="11" xfId="1" applyNumberFormat="1" applyFont="1" applyBorder="1" applyAlignment="1">
      <alignment horizontal="right"/>
    </xf>
    <xf numFmtId="164" fontId="2" fillId="0" borderId="12" xfId="0" applyNumberFormat="1" applyFont="1" applyBorder="1"/>
    <xf numFmtId="169" fontId="2" fillId="0" borderId="0" xfId="1" applyNumberFormat="1" applyFont="1" applyBorder="1"/>
    <xf numFmtId="169" fontId="2" fillId="0" borderId="14" xfId="1" applyNumberFormat="1" applyFont="1" applyBorder="1"/>
    <xf numFmtId="164" fontId="8" fillId="0" borderId="0" xfId="0" applyNumberFormat="1" applyFont="1"/>
    <xf numFmtId="164" fontId="8" fillId="0" borderId="12" xfId="0" applyNumberFormat="1" applyFont="1" applyBorder="1"/>
    <xf numFmtId="169" fontId="8" fillId="0" borderId="0" xfId="1" applyNumberFormat="1" applyFont="1" applyBorder="1"/>
    <xf numFmtId="169" fontId="9" fillId="0" borderId="14" xfId="1" applyNumberFormat="1" applyFont="1" applyBorder="1"/>
    <xf numFmtId="167" fontId="9" fillId="0" borderId="0" xfId="0" applyNumberFormat="1" applyFont="1"/>
    <xf numFmtId="164" fontId="8" fillId="0" borderId="2" xfId="0" applyNumberFormat="1" applyFont="1" applyBorder="1"/>
    <xf numFmtId="164" fontId="8" fillId="0" borderId="13" xfId="0" applyNumberFormat="1" applyFont="1" applyBorder="1"/>
    <xf numFmtId="169" fontId="8" fillId="0" borderId="2" xfId="1" applyNumberFormat="1" applyFont="1" applyBorder="1"/>
    <xf numFmtId="169" fontId="8" fillId="0" borderId="15" xfId="1" applyNumberFormat="1" applyFont="1" applyBorder="1"/>
    <xf numFmtId="164" fontId="2" fillId="0" borderId="2" xfId="0" applyNumberFormat="1" applyFont="1" applyBorder="1"/>
    <xf numFmtId="0" fontId="8" fillId="0" borderId="3" xfId="0" quotePrefix="1" applyFont="1" applyFill="1" applyBorder="1" applyAlignment="1">
      <alignment horizontal="left" vertical="top" wrapText="1"/>
    </xf>
    <xf numFmtId="164" fontId="8" fillId="0" borderId="0" xfId="0" applyNumberFormat="1" applyFont="1" applyBorder="1"/>
    <xf numFmtId="164" fontId="2" fillId="0" borderId="0" xfId="0" applyNumberFormat="1" applyFont="1" applyBorder="1"/>
    <xf numFmtId="167" fontId="9" fillId="0" borderId="0" xfId="0" applyNumberFormat="1" applyFont="1" applyAlignment="1">
      <alignment horizontal="right"/>
    </xf>
    <xf numFmtId="167" fontId="9" fillId="0" borderId="2" xfId="0" applyNumberFormat="1" applyFont="1" applyBorder="1"/>
    <xf numFmtId="40" fontId="8" fillId="0" borderId="0" xfId="0" applyNumberFormat="1" applyFont="1"/>
    <xf numFmtId="40" fontId="8" fillId="0" borderId="12" xfId="0" applyNumberFormat="1" applyFont="1" applyBorder="1"/>
    <xf numFmtId="172" fontId="8" fillId="0" borderId="0" xfId="1" applyNumberFormat="1" applyFont="1" applyFill="1" applyBorder="1"/>
    <xf numFmtId="172" fontId="8" fillId="0" borderId="0" xfId="1" applyNumberFormat="1" applyFont="1" applyBorder="1"/>
    <xf numFmtId="172" fontId="9" fillId="0" borderId="14" xfId="1" quotePrefix="1" applyNumberFormat="1" applyFont="1" applyBorder="1" applyAlignment="1">
      <alignment horizontal="right"/>
    </xf>
    <xf numFmtId="168" fontId="9" fillId="0" borderId="0" xfId="0" quotePrefix="1" applyNumberFormat="1" applyFont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0" xfId="0" applyNumberFormat="1" applyFont="1"/>
    <xf numFmtId="40" fontId="2" fillId="0" borderId="0" xfId="0" applyNumberFormat="1" applyFont="1"/>
    <xf numFmtId="172" fontId="2" fillId="0" borderId="1" xfId="1" applyNumberFormat="1" applyFont="1" applyBorder="1"/>
    <xf numFmtId="169" fontId="2" fillId="0" borderId="1" xfId="1" applyNumberFormat="1" applyFont="1" applyBorder="1"/>
    <xf numFmtId="169" fontId="2" fillId="0" borderId="11" xfId="1" applyNumberFormat="1" applyFont="1" applyBorder="1"/>
    <xf numFmtId="49" fontId="9" fillId="0" borderId="0" xfId="0" applyNumberFormat="1" applyFont="1"/>
    <xf numFmtId="49" fontId="10" fillId="0" borderId="0" xfId="0" applyNumberFormat="1" applyFont="1"/>
    <xf numFmtId="49" fontId="8" fillId="0" borderId="0" xfId="0" applyNumberFormat="1" applyFont="1"/>
    <xf numFmtId="170" fontId="11" fillId="0" borderId="0" xfId="0" applyNumberFormat="1" applyFont="1" applyFill="1"/>
    <xf numFmtId="169" fontId="9" fillId="0" borderId="0" xfId="1" applyNumberFormat="1" applyFont="1"/>
    <xf numFmtId="166" fontId="2" fillId="0" borderId="0" xfId="0" applyNumberFormat="1" applyFont="1"/>
    <xf numFmtId="165" fontId="2" fillId="0" borderId="0" xfId="1" applyNumberFormat="1" applyFont="1"/>
    <xf numFmtId="49" fontId="12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164" fontId="14" fillId="0" borderId="0" xfId="0" applyNumberFormat="1" applyFont="1" applyBorder="1" applyAlignment="1">
      <alignment horizontal="right"/>
    </xf>
    <xf numFmtId="49" fontId="15" fillId="0" borderId="0" xfId="0" applyNumberFormat="1" applyFont="1" applyAlignment="1">
      <alignment vertical="top"/>
    </xf>
    <xf numFmtId="164" fontId="1" fillId="0" borderId="1" xfId="0" applyNumberFormat="1" applyFont="1" applyBorder="1" applyAlignment="1">
      <alignment horizontal="right"/>
    </xf>
    <xf numFmtId="164" fontId="2" fillId="0" borderId="5" xfId="0" applyNumberFormat="1" applyFont="1" applyBorder="1" applyAlignment="1"/>
    <xf numFmtId="171" fontId="7" fillId="0" borderId="7" xfId="0" applyNumberFormat="1" applyFont="1" applyBorder="1" applyAlignment="1">
      <alignment horizontal="right"/>
    </xf>
    <xf numFmtId="171" fontId="7" fillId="0" borderId="8" xfId="0" applyNumberFormat="1" applyFont="1" applyBorder="1" applyAlignment="1">
      <alignment horizontal="right"/>
    </xf>
    <xf numFmtId="171" fontId="7" fillId="0" borderId="9" xfId="0" applyNumberFormat="1" applyFont="1" applyBorder="1" applyAlignment="1">
      <alignment horizontal="right"/>
    </xf>
    <xf numFmtId="171" fontId="7" fillId="0" borderId="0" xfId="0" applyNumberFormat="1" applyFont="1" applyBorder="1" applyAlignment="1">
      <alignment horizontal="right"/>
    </xf>
    <xf numFmtId="164" fontId="2" fillId="0" borderId="11" xfId="0" applyNumberFormat="1" applyFont="1" applyBorder="1"/>
    <xf numFmtId="166" fontId="2" fillId="0" borderId="1" xfId="0" applyNumberFormat="1" applyFont="1" applyBorder="1"/>
    <xf numFmtId="164" fontId="2" fillId="0" borderId="8" xfId="0" applyNumberFormat="1" applyFont="1" applyBorder="1"/>
    <xf numFmtId="164" fontId="2" fillId="0" borderId="14" xfId="0" applyNumberFormat="1" applyFont="1" applyBorder="1"/>
    <xf numFmtId="166" fontId="2" fillId="0" borderId="0" xfId="0" applyNumberFormat="1" applyFont="1" applyBorder="1"/>
    <xf numFmtId="171" fontId="8" fillId="0" borderId="12" xfId="0" applyNumberFormat="1" applyFont="1" applyBorder="1"/>
    <xf numFmtId="1" fontId="8" fillId="0" borderId="0" xfId="0" applyNumberFormat="1" applyFont="1" applyBorder="1"/>
    <xf numFmtId="1" fontId="8" fillId="0" borderId="14" xfId="0" applyNumberFormat="1" applyFont="1" applyBorder="1"/>
    <xf numFmtId="1" fontId="8" fillId="0" borderId="0" xfId="0" applyNumberFormat="1" applyFont="1"/>
    <xf numFmtId="1" fontId="9" fillId="0" borderId="0" xfId="0" applyNumberFormat="1" applyFont="1"/>
    <xf numFmtId="164" fontId="4" fillId="0" borderId="2" xfId="0" applyNumberFormat="1" applyFont="1" applyBorder="1"/>
    <xf numFmtId="1" fontId="4" fillId="0" borderId="2" xfId="0" applyNumberFormat="1" applyFont="1" applyBorder="1"/>
    <xf numFmtId="171" fontId="8" fillId="0" borderId="13" xfId="0" applyNumberFormat="1" applyFont="1" applyBorder="1"/>
    <xf numFmtId="1" fontId="8" fillId="0" borderId="2" xfId="0" applyNumberFormat="1" applyFont="1" applyBorder="1"/>
    <xf numFmtId="1" fontId="8" fillId="0" borderId="15" xfId="0" applyNumberFormat="1" applyFont="1" applyBorder="1"/>
    <xf numFmtId="1" fontId="9" fillId="0" borderId="0" xfId="1" applyNumberFormat="1" applyFont="1"/>
    <xf numFmtId="164" fontId="8" fillId="0" borderId="3" xfId="0" applyNumberFormat="1" applyFont="1" applyBorder="1" applyAlignment="1">
      <alignment horizontal="left" wrapText="1"/>
    </xf>
    <xf numFmtId="164" fontId="8" fillId="0" borderId="0" xfId="0" applyNumberFormat="1" applyFont="1" applyBorder="1" applyAlignment="1">
      <alignment horizontal="left" wrapText="1"/>
    </xf>
    <xf numFmtId="1" fontId="8" fillId="0" borderId="0" xfId="0" applyNumberFormat="1" applyFont="1" applyBorder="1" applyAlignment="1">
      <alignment horizontal="right"/>
    </xf>
    <xf numFmtId="1" fontId="9" fillId="0" borderId="2" xfId="0" applyNumberFormat="1" applyFont="1" applyBorder="1"/>
    <xf numFmtId="1" fontId="8" fillId="0" borderId="0" xfId="0" applyNumberFormat="1" applyFont="1" applyAlignment="1">
      <alignment horizontal="right"/>
    </xf>
    <xf numFmtId="0" fontId="8" fillId="0" borderId="0" xfId="0" applyNumberFormat="1" applyFont="1"/>
    <xf numFmtId="171" fontId="8" fillId="0" borderId="12" xfId="0" applyNumberFormat="1" applyFont="1" applyBorder="1" applyAlignment="1">
      <alignment horizontal="right"/>
    </xf>
    <xf numFmtId="1" fontId="8" fillId="0" borderId="0" xfId="0" quotePrefix="1" applyNumberFormat="1" applyFont="1" applyFill="1" applyBorder="1" applyAlignment="1">
      <alignment horizontal="right"/>
    </xf>
    <xf numFmtId="1" fontId="8" fillId="0" borderId="0" xfId="0" quotePrefix="1" applyNumberFormat="1" applyFont="1" applyBorder="1" applyAlignment="1">
      <alignment horizontal="right"/>
    </xf>
    <xf numFmtId="1" fontId="8" fillId="0" borderId="14" xfId="0" quotePrefix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/>
    </xf>
    <xf numFmtId="1" fontId="9" fillId="0" borderId="0" xfId="0" quotePrefix="1" applyNumberFormat="1" applyFont="1" applyAlignment="1">
      <alignment horizontal="right"/>
    </xf>
    <xf numFmtId="0" fontId="8" fillId="0" borderId="2" xfId="0" applyNumberFormat="1" applyFont="1" applyBorder="1"/>
    <xf numFmtId="0" fontId="8" fillId="0" borderId="0" xfId="0" applyFont="1"/>
    <xf numFmtId="0" fontId="8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8" fillId="0" borderId="2" xfId="0" applyFont="1" applyBorder="1"/>
    <xf numFmtId="0" fontId="8" fillId="0" borderId="2" xfId="0" applyNumberFormat="1" applyFont="1" applyBorder="1" applyAlignment="1">
      <alignment horizontal="right"/>
    </xf>
    <xf numFmtId="171" fontId="8" fillId="0" borderId="13" xfId="0" applyNumberFormat="1" applyFont="1" applyBorder="1" applyAlignment="1">
      <alignment horizontal="right"/>
    </xf>
    <xf numFmtId="1" fontId="8" fillId="0" borderId="2" xfId="0" applyNumberFormat="1" applyFont="1" applyBorder="1" applyAlignment="1">
      <alignment horizontal="right"/>
    </xf>
    <xf numFmtId="1" fontId="8" fillId="0" borderId="15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8" fillId="0" borderId="0" xfId="0" applyNumberFormat="1" applyFont="1" applyAlignment="1">
      <alignment horizontal="left"/>
    </xf>
    <xf numFmtId="172" fontId="8" fillId="0" borderId="12" xfId="0" applyNumberFormat="1" applyFont="1" applyBorder="1" applyAlignment="1">
      <alignment horizontal="right"/>
    </xf>
    <xf numFmtId="172" fontId="8" fillId="0" borderId="0" xfId="0" applyNumberFormat="1" applyFont="1" applyBorder="1" applyAlignment="1">
      <alignment horizontal="right"/>
    </xf>
    <xf numFmtId="172" fontId="8" fillId="0" borderId="14" xfId="0" applyNumberFormat="1" applyFont="1" applyBorder="1" applyAlignment="1">
      <alignment horizontal="right"/>
    </xf>
    <xf numFmtId="172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1" fontId="2" fillId="0" borderId="1" xfId="0" applyNumberFormat="1" applyFont="1" applyBorder="1"/>
    <xf numFmtId="1" fontId="2" fillId="0" borderId="11" xfId="0" applyNumberFormat="1" applyFont="1" applyBorder="1"/>
    <xf numFmtId="49" fontId="8" fillId="0" borderId="0" xfId="0" quotePrefix="1" applyNumberFormat="1" applyFont="1"/>
    <xf numFmtId="173" fontId="8" fillId="0" borderId="12" xfId="1" applyNumberFormat="1" applyFont="1" applyBorder="1"/>
    <xf numFmtId="173" fontId="8" fillId="0" borderId="0" xfId="1" applyNumberFormat="1" applyFont="1" applyBorder="1"/>
    <xf numFmtId="173" fontId="8" fillId="0" borderId="14" xfId="1" applyNumberFormat="1" applyFont="1" applyBorder="1"/>
    <xf numFmtId="173" fontId="8" fillId="0" borderId="0" xfId="1" applyNumberFormat="1" applyFont="1"/>
    <xf numFmtId="173" fontId="9" fillId="0" borderId="0" xfId="1" applyNumberFormat="1" applyFont="1"/>
    <xf numFmtId="173" fontId="4" fillId="0" borderId="13" xfId="1" applyNumberFormat="1" applyFont="1" applyBorder="1"/>
    <xf numFmtId="173" fontId="4" fillId="0" borderId="2" xfId="1" applyNumberFormat="1" applyFont="1" applyBorder="1"/>
    <xf numFmtId="173" fontId="4" fillId="0" borderId="15" xfId="1" applyNumberFormat="1" applyFont="1" applyBorder="1"/>
    <xf numFmtId="173" fontId="8" fillId="0" borderId="13" xfId="1" applyNumberFormat="1" applyFont="1" applyBorder="1"/>
    <xf numFmtId="173" fontId="8" fillId="0" borderId="2" xfId="1" applyNumberFormat="1" applyFont="1" applyBorder="1"/>
    <xf numFmtId="173" fontId="8" fillId="0" borderId="15" xfId="1" applyNumberFormat="1" applyFont="1" applyBorder="1"/>
    <xf numFmtId="173" fontId="8" fillId="0" borderId="0" xfId="1" applyNumberFormat="1" applyFont="1" applyBorder="1" applyAlignment="1">
      <alignment horizontal="right" wrapText="1"/>
    </xf>
    <xf numFmtId="173" fontId="8" fillId="0" borderId="0" xfId="1" applyNumberFormat="1" applyFont="1" applyBorder="1" applyAlignment="1">
      <alignment horizontal="right"/>
    </xf>
    <xf numFmtId="173" fontId="8" fillId="0" borderId="14" xfId="1" applyNumberFormat="1" applyFont="1" applyBorder="1" applyAlignment="1">
      <alignment horizontal="right"/>
    </xf>
    <xf numFmtId="173" fontId="8" fillId="0" borderId="16" xfId="1" applyNumberFormat="1" applyFont="1" applyBorder="1"/>
    <xf numFmtId="173" fontId="8" fillId="0" borderId="3" xfId="1" applyNumberFormat="1" applyFont="1" applyBorder="1"/>
    <xf numFmtId="173" fontId="9" fillId="0" borderId="14" xfId="1" applyNumberFormat="1" applyFont="1" applyBorder="1"/>
    <xf numFmtId="173" fontId="8" fillId="0" borderId="0" xfId="1" applyNumberFormat="1" applyFont="1" applyFill="1" applyBorder="1"/>
    <xf numFmtId="173" fontId="8" fillId="0" borderId="12" xfId="1" quotePrefix="1" applyNumberFormat="1" applyFont="1" applyFill="1" applyBorder="1" applyAlignment="1">
      <alignment horizontal="left" wrapText="1"/>
    </xf>
    <xf numFmtId="173" fontId="8" fillId="0" borderId="0" xfId="1" quotePrefix="1" applyNumberFormat="1" applyFont="1" applyFill="1" applyBorder="1" applyAlignment="1">
      <alignment horizontal="right"/>
    </xf>
    <xf numFmtId="173" fontId="9" fillId="0" borderId="14" xfId="1" applyNumberFormat="1" applyFont="1" applyBorder="1" applyAlignment="1">
      <alignment horizontal="right"/>
    </xf>
    <xf numFmtId="173" fontId="9" fillId="0" borderId="0" xfId="1" applyNumberFormat="1" applyFont="1" applyAlignment="1">
      <alignment horizontal="right"/>
    </xf>
    <xf numFmtId="173" fontId="8" fillId="0" borderId="0" xfId="1" applyNumberFormat="1" applyFont="1" applyAlignment="1">
      <alignment horizontal="right"/>
    </xf>
    <xf numFmtId="173" fontId="9" fillId="0" borderId="0" xfId="1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51"/>
  <sheetViews>
    <sheetView workbookViewId="0"/>
  </sheetViews>
  <sheetFormatPr defaultColWidth="9.140625" defaultRowHeight="24" customHeight="1"/>
  <cols>
    <col min="1" max="1" width="12.42578125" style="11" customWidth="1"/>
    <col min="2" max="2" width="37.28515625" style="11" customWidth="1"/>
    <col min="3" max="3" width="13" style="11" customWidth="1"/>
    <col min="4" max="7" width="14.85546875" style="22" customWidth="1"/>
    <col min="8" max="12" width="14" style="11" customWidth="1"/>
    <col min="13" max="13" width="14" style="11" hidden="1" customWidth="1"/>
    <col min="14" max="14" width="12.28515625" style="11" hidden="1" customWidth="1"/>
    <col min="15" max="16384" width="9.140625" style="11"/>
  </cols>
  <sheetData>
    <row r="1" spans="1:248" ht="24.75" customHeight="1">
      <c r="A1" s="68" t="s">
        <v>0</v>
      </c>
    </row>
    <row r="2" spans="1:248" ht="24.75" customHeight="1">
      <c r="A2" s="69" t="s">
        <v>59</v>
      </c>
      <c r="B2" s="1"/>
      <c r="C2" s="1"/>
      <c r="D2" s="10"/>
      <c r="E2" s="10"/>
      <c r="F2" s="10"/>
      <c r="G2" s="10"/>
      <c r="H2" s="1"/>
      <c r="I2" s="1"/>
      <c r="J2" s="1"/>
      <c r="K2" s="1"/>
      <c r="L2" s="1"/>
      <c r="M2" s="1"/>
      <c r="N2" s="1"/>
    </row>
    <row r="3" spans="1:248" ht="24.75" customHeight="1" thickBot="1">
      <c r="A3" s="21"/>
      <c r="B3" s="1"/>
      <c r="C3" s="1"/>
      <c r="D3" s="10"/>
      <c r="E3" s="10"/>
      <c r="F3" s="10"/>
      <c r="G3" s="10"/>
      <c r="H3" s="1"/>
      <c r="I3" s="1"/>
      <c r="J3" s="1"/>
      <c r="K3" s="1"/>
      <c r="L3" s="70" t="s">
        <v>60</v>
      </c>
      <c r="M3" s="12" t="s">
        <v>51</v>
      </c>
    </row>
    <row r="4" spans="1:248" s="23" customFormat="1" ht="24.75" customHeight="1" thickBot="1">
      <c r="C4" s="16" t="s">
        <v>36</v>
      </c>
      <c r="D4" s="17"/>
      <c r="E4" s="17"/>
      <c r="F4" s="17"/>
      <c r="G4" s="18"/>
      <c r="H4" s="15" t="s">
        <v>35</v>
      </c>
      <c r="I4" s="15"/>
      <c r="J4" s="15"/>
      <c r="K4" s="15"/>
      <c r="L4" s="15"/>
      <c r="M4" s="15"/>
      <c r="N4" s="15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</row>
    <row r="5" spans="1:248" s="2" customFormat="1" ht="21" customHeight="1">
      <c r="C5" s="24">
        <v>2015</v>
      </c>
      <c r="D5" s="25">
        <v>2014</v>
      </c>
      <c r="E5" s="25">
        <v>2013</v>
      </c>
      <c r="F5" s="25">
        <v>2012</v>
      </c>
      <c r="G5" s="26">
        <v>2011</v>
      </c>
      <c r="H5" s="27">
        <v>2010</v>
      </c>
      <c r="I5" s="27">
        <v>2009</v>
      </c>
      <c r="J5" s="27">
        <v>2008</v>
      </c>
      <c r="K5" s="27">
        <v>2007</v>
      </c>
      <c r="L5" s="27">
        <v>2006</v>
      </c>
      <c r="M5" s="27">
        <v>2005</v>
      </c>
      <c r="N5" s="27">
        <v>2003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 spans="1:248" s="23" customFormat="1" ht="12.75" customHeight="1" thickBot="1">
      <c r="C6" s="28"/>
      <c r="D6" s="29"/>
      <c r="E6" s="29"/>
      <c r="F6" s="29"/>
      <c r="G6" s="30"/>
      <c r="H6" s="14"/>
      <c r="I6" s="14"/>
      <c r="J6" s="14"/>
      <c r="K6" s="14"/>
      <c r="L6" s="14"/>
      <c r="M6" s="14"/>
      <c r="N6" s="14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 spans="1:248" ht="24" hidden="1" customHeight="1">
      <c r="C7" s="31"/>
      <c r="D7" s="32"/>
      <c r="E7" s="32"/>
      <c r="F7" s="32"/>
      <c r="G7" s="33"/>
    </row>
    <row r="8" spans="1:248" ht="24" hidden="1" customHeight="1">
      <c r="A8" s="34" t="s">
        <v>12</v>
      </c>
      <c r="B8" s="34"/>
      <c r="C8" s="35"/>
      <c r="D8" s="36">
        <v>8633.11</v>
      </c>
      <c r="E8" s="36">
        <v>8633.11</v>
      </c>
      <c r="F8" s="36">
        <v>8633.11</v>
      </c>
      <c r="G8" s="37">
        <v>6744.9999999999991</v>
      </c>
      <c r="H8" s="38">
        <f>5276.29+964.2</f>
        <v>6240.49</v>
      </c>
      <c r="I8" s="38">
        <v>5540.62</v>
      </c>
      <c r="J8" s="38">
        <v>4202.58</v>
      </c>
      <c r="K8" s="38">
        <f>3229.69+280.6</f>
        <v>3510.29</v>
      </c>
      <c r="L8" s="38">
        <v>3064.71</v>
      </c>
      <c r="M8" s="38">
        <v>2810.44</v>
      </c>
      <c r="N8" s="38">
        <f>2436.82+52.31</f>
        <v>2489.13</v>
      </c>
    </row>
    <row r="9" spans="1:248" s="43" customFormat="1" ht="9.75" hidden="1" customHeight="1">
      <c r="A9" s="39"/>
      <c r="B9" s="39"/>
      <c r="C9" s="40"/>
      <c r="D9" s="41"/>
      <c r="E9" s="41"/>
      <c r="F9" s="41"/>
      <c r="G9" s="42"/>
      <c r="H9" s="39"/>
      <c r="I9" s="39"/>
      <c r="J9" s="39"/>
      <c r="K9" s="39"/>
      <c r="L9" s="39"/>
      <c r="M9" s="39"/>
      <c r="N9" s="39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 spans="1:248" ht="24" customHeight="1">
      <c r="A10" s="34" t="s">
        <v>13</v>
      </c>
      <c r="B10" s="34"/>
      <c r="C10" s="126">
        <v>8108.22</v>
      </c>
      <c r="D10" s="127">
        <v>7105</v>
      </c>
      <c r="E10" s="127">
        <v>5821</v>
      </c>
      <c r="F10" s="127">
        <v>5088</v>
      </c>
      <c r="G10" s="142">
        <v>3904</v>
      </c>
      <c r="H10" s="130">
        <v>3702.72</v>
      </c>
      <c r="I10" s="130">
        <v>3214.33</v>
      </c>
      <c r="J10" s="130">
        <v>2360.9</v>
      </c>
      <c r="K10" s="130">
        <v>1871.17</v>
      </c>
      <c r="L10" s="130">
        <f>1554.45+0.05</f>
        <v>1554.5</v>
      </c>
      <c r="M10" s="38">
        <v>1474.88</v>
      </c>
      <c r="N10" s="38">
        <v>1466.09</v>
      </c>
    </row>
    <row r="11" spans="1:248" s="43" customFormat="1" ht="10.5" customHeight="1">
      <c r="A11" s="39"/>
      <c r="B11" s="39"/>
      <c r="C11" s="134"/>
      <c r="D11" s="135"/>
      <c r="E11" s="135"/>
      <c r="F11" s="135"/>
      <c r="G11" s="136"/>
      <c r="H11" s="135"/>
      <c r="I11" s="135"/>
      <c r="J11" s="135"/>
      <c r="K11" s="135"/>
      <c r="L11" s="135"/>
      <c r="M11" s="39"/>
      <c r="N11" s="39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</row>
    <row r="12" spans="1:248" ht="24" hidden="1" customHeight="1">
      <c r="A12" s="34" t="s">
        <v>14</v>
      </c>
      <c r="B12" s="34"/>
      <c r="C12" s="126"/>
      <c r="D12" s="127"/>
      <c r="E12" s="127"/>
      <c r="F12" s="127"/>
      <c r="G12" s="142"/>
      <c r="H12" s="130"/>
      <c r="I12" s="130"/>
      <c r="J12" s="130"/>
      <c r="K12" s="130"/>
      <c r="L12" s="130"/>
      <c r="M12" s="38"/>
      <c r="N12" s="38">
        <v>0</v>
      </c>
    </row>
    <row r="13" spans="1:248" s="43" customFormat="1" ht="10.5" hidden="1" customHeight="1">
      <c r="A13" s="39"/>
      <c r="B13" s="39"/>
      <c r="C13" s="134"/>
      <c r="D13" s="135"/>
      <c r="E13" s="135"/>
      <c r="F13" s="135"/>
      <c r="G13" s="136"/>
      <c r="H13" s="135"/>
      <c r="I13" s="135"/>
      <c r="J13" s="135"/>
      <c r="K13" s="135"/>
      <c r="L13" s="135"/>
      <c r="M13" s="39"/>
      <c r="N13" s="39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</row>
    <row r="14" spans="1:248" ht="24" customHeight="1">
      <c r="A14" s="34" t="s">
        <v>15</v>
      </c>
      <c r="B14" s="34"/>
      <c r="C14" s="126">
        <v>13138.16</v>
      </c>
      <c r="D14" s="127">
        <v>11380</v>
      </c>
      <c r="E14" s="143">
        <v>11834</v>
      </c>
      <c r="F14" s="127">
        <v>10297</v>
      </c>
      <c r="G14" s="142">
        <v>8913</v>
      </c>
      <c r="H14" s="130">
        <v>6398.02</v>
      </c>
      <c r="I14" s="130">
        <v>5786.41</v>
      </c>
      <c r="J14" s="130">
        <v>4215.0600000000004</v>
      </c>
      <c r="K14" s="130">
        <f>2237.46+0.05</f>
        <v>2237.5100000000002</v>
      </c>
      <c r="L14" s="130">
        <v>1669.09</v>
      </c>
      <c r="M14" s="38">
        <v>1189.79</v>
      </c>
      <c r="N14" s="38">
        <v>862.27</v>
      </c>
    </row>
    <row r="15" spans="1:248" s="43" customFormat="1" ht="10.5" customHeight="1">
      <c r="A15" s="39"/>
      <c r="B15" s="39"/>
      <c r="C15" s="134"/>
      <c r="D15" s="135"/>
      <c r="E15" s="135"/>
      <c r="F15" s="135"/>
      <c r="G15" s="136"/>
      <c r="H15" s="135"/>
      <c r="I15" s="135"/>
      <c r="J15" s="135"/>
      <c r="K15" s="135"/>
      <c r="L15" s="135"/>
      <c r="M15" s="39"/>
      <c r="N15" s="39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</row>
    <row r="16" spans="1:248" ht="30.75" customHeight="1">
      <c r="A16" s="44" t="s">
        <v>46</v>
      </c>
      <c r="B16" s="44"/>
      <c r="C16" s="144">
        <v>0</v>
      </c>
      <c r="D16" s="145">
        <v>0</v>
      </c>
      <c r="E16" s="145">
        <v>0</v>
      </c>
      <c r="F16" s="145">
        <v>0</v>
      </c>
      <c r="G16" s="142">
        <v>0</v>
      </c>
      <c r="H16" s="130">
        <v>-3.46</v>
      </c>
      <c r="I16" s="130">
        <v>18.11</v>
      </c>
      <c r="J16" s="130">
        <v>0</v>
      </c>
      <c r="K16" s="130">
        <v>0</v>
      </c>
      <c r="L16" s="130">
        <v>0</v>
      </c>
      <c r="M16" s="38">
        <v>0</v>
      </c>
      <c r="N16" s="38">
        <v>0</v>
      </c>
    </row>
    <row r="17" spans="1:248" s="43" customFormat="1" ht="10.5" customHeight="1">
      <c r="A17" s="39"/>
      <c r="B17" s="39"/>
      <c r="C17" s="134"/>
      <c r="D17" s="135"/>
      <c r="E17" s="135"/>
      <c r="F17" s="135"/>
      <c r="G17" s="136"/>
      <c r="H17" s="135"/>
      <c r="I17" s="135"/>
      <c r="J17" s="135"/>
      <c r="K17" s="135"/>
      <c r="L17" s="135"/>
      <c r="M17" s="39"/>
      <c r="N17" s="39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</row>
    <row r="18" spans="1:248" ht="24" customHeight="1">
      <c r="A18" s="34" t="s">
        <v>16</v>
      </c>
      <c r="B18" s="34"/>
      <c r="C18" s="126">
        <v>2437.5700000000002</v>
      </c>
      <c r="D18" s="127">
        <v>2804</v>
      </c>
      <c r="E18" s="127">
        <v>2420</v>
      </c>
      <c r="F18" s="127">
        <v>2358</v>
      </c>
      <c r="G18" s="142">
        <v>1694</v>
      </c>
      <c r="H18" s="130">
        <v>1188.78</v>
      </c>
      <c r="I18" s="130">
        <v>1060.67</v>
      </c>
      <c r="J18" s="130">
        <v>1084.1099999999999</v>
      </c>
      <c r="K18" s="130">
        <v>878.48</v>
      </c>
      <c r="L18" s="130">
        <v>878.74</v>
      </c>
      <c r="M18" s="38">
        <v>759.83</v>
      </c>
      <c r="N18" s="38">
        <f>12.79+15.18+428.77</f>
        <v>456.74</v>
      </c>
    </row>
    <row r="19" spans="1:248" s="43" customFormat="1" ht="10.5" customHeight="1">
      <c r="A19" s="39"/>
      <c r="B19" s="39"/>
      <c r="C19" s="134"/>
      <c r="D19" s="135"/>
      <c r="E19" s="135"/>
      <c r="F19" s="135"/>
      <c r="G19" s="136"/>
      <c r="H19" s="135"/>
      <c r="I19" s="135"/>
      <c r="J19" s="135"/>
      <c r="K19" s="135"/>
      <c r="L19" s="135"/>
      <c r="M19" s="39"/>
      <c r="N19" s="39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  <row r="20" spans="1:248" s="46" customFormat="1" ht="24" customHeight="1">
      <c r="A20" s="45" t="s">
        <v>43</v>
      </c>
      <c r="B20" s="45"/>
      <c r="C20" s="126">
        <v>2558.0300000000002</v>
      </c>
      <c r="D20" s="127">
        <v>2510</v>
      </c>
      <c r="E20" s="127">
        <v>2208</v>
      </c>
      <c r="F20" s="127">
        <v>1929</v>
      </c>
      <c r="G20" s="128">
        <v>1260</v>
      </c>
      <c r="H20" s="130">
        <v>1258.08</v>
      </c>
      <c r="I20" s="130">
        <v>1043.6500000000001</v>
      </c>
      <c r="J20" s="130">
        <v>1004.88</v>
      </c>
      <c r="K20" s="130">
        <v>700.89</v>
      </c>
      <c r="L20" s="130">
        <v>637.97</v>
      </c>
      <c r="M20" s="38">
        <v>511.53</v>
      </c>
      <c r="N20" s="38">
        <v>517.08000000000004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</row>
    <row r="21" spans="1:248" s="46" customFormat="1" ht="10.5" customHeight="1">
      <c r="A21" s="39"/>
      <c r="B21" s="39"/>
      <c r="C21" s="134"/>
      <c r="D21" s="135"/>
      <c r="E21" s="135"/>
      <c r="F21" s="135"/>
      <c r="G21" s="136"/>
      <c r="H21" s="135"/>
      <c r="I21" s="135"/>
      <c r="J21" s="135"/>
      <c r="K21" s="135"/>
      <c r="L21" s="135"/>
      <c r="M21" s="39"/>
      <c r="N21" s="39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</row>
    <row r="22" spans="1:248" ht="24" customHeight="1">
      <c r="A22" s="34" t="s">
        <v>41</v>
      </c>
      <c r="B22" s="34"/>
      <c r="C22" s="126">
        <v>6702.89</v>
      </c>
      <c r="D22" s="127">
        <v>7490</v>
      </c>
      <c r="E22" s="127">
        <v>5171</v>
      </c>
      <c r="F22" s="127">
        <v>4098</v>
      </c>
      <c r="G22" s="146">
        <v>3753</v>
      </c>
      <c r="H22" s="147">
        <f>1743.23+50.87+1801.43-0.04+4.12-1</f>
        <v>3598.6099999999997</v>
      </c>
      <c r="I22" s="147">
        <f>1574.43+1.56+1382.62</f>
        <v>2958.6099999999997</v>
      </c>
      <c r="J22" s="147">
        <f>861.23+2.27+691.88</f>
        <v>1555.38</v>
      </c>
      <c r="K22" s="147">
        <f>1326.07+3.31+839.42</f>
        <v>2168.7999999999997</v>
      </c>
      <c r="L22" s="147">
        <f>2749.06-L18-L20</f>
        <v>1232.3499999999999</v>
      </c>
      <c r="M22" s="47">
        <v>1028.21</v>
      </c>
      <c r="N22" s="38">
        <v>639.64</v>
      </c>
    </row>
    <row r="23" spans="1:248" s="43" customFormat="1" ht="10.5" customHeight="1">
      <c r="A23" s="39"/>
      <c r="B23" s="39"/>
      <c r="C23" s="134"/>
      <c r="D23" s="135"/>
      <c r="E23" s="135"/>
      <c r="F23" s="135"/>
      <c r="G23" s="136"/>
      <c r="H23" s="135"/>
      <c r="I23" s="135"/>
      <c r="J23" s="135"/>
      <c r="K23" s="135"/>
      <c r="L23" s="135"/>
      <c r="M23" s="39"/>
      <c r="N23" s="39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</row>
    <row r="24" spans="1:248" ht="24" customHeight="1">
      <c r="A24" s="34" t="s">
        <v>17</v>
      </c>
      <c r="B24" s="34"/>
      <c r="C24" s="126">
        <v>0</v>
      </c>
      <c r="D24" s="127">
        <v>0</v>
      </c>
      <c r="E24" s="127">
        <v>0</v>
      </c>
      <c r="F24" s="127">
        <v>0</v>
      </c>
      <c r="G24" s="128">
        <v>0</v>
      </c>
      <c r="H24" s="129">
        <v>0</v>
      </c>
      <c r="I24" s="129">
        <v>12.55</v>
      </c>
      <c r="J24" s="129">
        <v>13.53</v>
      </c>
      <c r="K24" s="129">
        <v>17.55</v>
      </c>
      <c r="L24" s="129">
        <v>18.05</v>
      </c>
      <c r="M24" s="34">
        <v>24.38</v>
      </c>
      <c r="N24" s="38">
        <v>39.72</v>
      </c>
    </row>
    <row r="25" spans="1:248" s="43" customFormat="1" ht="10.5" customHeight="1">
      <c r="A25" s="39"/>
      <c r="B25" s="39"/>
      <c r="C25" s="134"/>
      <c r="D25" s="135"/>
      <c r="E25" s="135"/>
      <c r="F25" s="135"/>
      <c r="G25" s="136"/>
      <c r="H25" s="135"/>
      <c r="I25" s="135"/>
      <c r="J25" s="135"/>
      <c r="K25" s="135"/>
      <c r="L25" s="135"/>
      <c r="M25" s="39"/>
      <c r="N25" s="39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</row>
    <row r="26" spans="1:248" ht="24" customHeight="1">
      <c r="A26" s="34" t="s">
        <v>18</v>
      </c>
      <c r="B26" s="34"/>
      <c r="C26" s="126">
        <v>2620.38</v>
      </c>
      <c r="D26" s="127">
        <v>3745</v>
      </c>
      <c r="E26" s="127">
        <v>3227</v>
      </c>
      <c r="F26" s="127">
        <v>3174</v>
      </c>
      <c r="G26" s="142">
        <v>2321</v>
      </c>
      <c r="H26" s="130">
        <f>2880.15</f>
        <v>2880.15</v>
      </c>
      <c r="I26" s="130">
        <f>4052.76</f>
        <v>4052.76</v>
      </c>
      <c r="J26" s="130">
        <f>2587.06</f>
        <v>2587.06</v>
      </c>
      <c r="K26" s="130">
        <f>1636</f>
        <v>1636</v>
      </c>
      <c r="L26" s="130">
        <f>837.18+46.21</f>
        <v>883.39</v>
      </c>
      <c r="M26" s="38">
        <f>941.4+111.22-0.13</f>
        <v>1052.4899999999998</v>
      </c>
      <c r="N26" s="38">
        <f>1139.84</f>
        <v>1139.8399999999999</v>
      </c>
    </row>
    <row r="27" spans="1:248" s="43" customFormat="1" ht="10.5" customHeight="1">
      <c r="A27" s="39"/>
      <c r="B27" s="39"/>
      <c r="C27" s="134"/>
      <c r="D27" s="135"/>
      <c r="E27" s="135"/>
      <c r="F27" s="135"/>
      <c r="G27" s="136"/>
      <c r="H27" s="135"/>
      <c r="I27" s="135"/>
      <c r="J27" s="135"/>
      <c r="K27" s="135"/>
      <c r="L27" s="135"/>
      <c r="M27" s="39"/>
      <c r="N27" s="39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</row>
    <row r="28" spans="1:248" ht="24" customHeight="1">
      <c r="A28" s="34" t="s">
        <v>44</v>
      </c>
      <c r="B28" s="34"/>
      <c r="C28" s="126">
        <v>10089.700000000001</v>
      </c>
      <c r="D28" s="127">
        <v>9863</v>
      </c>
      <c r="E28" s="127">
        <v>8953</v>
      </c>
      <c r="F28" s="127">
        <v>7964</v>
      </c>
      <c r="G28" s="146">
        <v>6535</v>
      </c>
      <c r="H28" s="147">
        <v>5196.54</v>
      </c>
      <c r="I28" s="147">
        <v>4797.76</v>
      </c>
      <c r="J28" s="147">
        <v>3240.01</v>
      </c>
      <c r="K28" s="147">
        <v>2665.65</v>
      </c>
      <c r="L28" s="147">
        <v>2051.64</v>
      </c>
      <c r="M28" s="47">
        <v>1759.71</v>
      </c>
      <c r="N28" s="38">
        <v>1094.78</v>
      </c>
    </row>
    <row r="29" spans="1:248" s="43" customFormat="1" ht="10.5" customHeight="1">
      <c r="A29" s="39"/>
      <c r="B29" s="39"/>
      <c r="C29" s="134"/>
      <c r="D29" s="135"/>
      <c r="E29" s="135"/>
      <c r="F29" s="135"/>
      <c r="G29" s="136"/>
      <c r="H29" s="135"/>
      <c r="I29" s="135"/>
      <c r="J29" s="135"/>
      <c r="K29" s="135"/>
      <c r="L29" s="135"/>
      <c r="M29" s="39"/>
      <c r="N29" s="48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</row>
    <row r="30" spans="1:248" ht="24" customHeight="1">
      <c r="A30" s="34" t="s">
        <v>45</v>
      </c>
      <c r="B30" s="34"/>
      <c r="C30" s="126">
        <v>979.7</v>
      </c>
      <c r="D30" s="127">
        <v>890</v>
      </c>
      <c r="E30" s="127">
        <v>615</v>
      </c>
      <c r="F30" s="127">
        <v>527</v>
      </c>
      <c r="G30" s="142">
        <v>355</v>
      </c>
      <c r="H30" s="130">
        <v>240.33</v>
      </c>
      <c r="I30" s="130">
        <v>-18.27</v>
      </c>
      <c r="J30" s="130">
        <v>56.72</v>
      </c>
      <c r="K30" s="130">
        <v>19.79</v>
      </c>
      <c r="L30" s="130">
        <v>146.75</v>
      </c>
      <c r="M30" s="38">
        <v>189.75</v>
      </c>
      <c r="N30" s="38">
        <v>177.1</v>
      </c>
    </row>
    <row r="31" spans="1:248" s="43" customFormat="1" ht="10.5" customHeight="1">
      <c r="A31" s="39"/>
      <c r="B31" s="39"/>
      <c r="C31" s="134"/>
      <c r="D31" s="135"/>
      <c r="E31" s="135"/>
      <c r="F31" s="135"/>
      <c r="G31" s="136"/>
      <c r="H31" s="135"/>
      <c r="I31" s="135"/>
      <c r="J31" s="135"/>
      <c r="K31" s="135"/>
      <c r="L31" s="135"/>
      <c r="M31" s="39"/>
      <c r="N31" s="48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</row>
    <row r="32" spans="1:248" ht="22.5" customHeight="1">
      <c r="A32" s="34" t="s">
        <v>19</v>
      </c>
      <c r="C32" s="126">
        <v>295.7</v>
      </c>
      <c r="D32" s="127">
        <v>295</v>
      </c>
      <c r="E32" s="127">
        <v>295</v>
      </c>
      <c r="F32" s="127">
        <v>295</v>
      </c>
      <c r="G32" s="139">
        <v>294</v>
      </c>
      <c r="H32" s="148">
        <v>282.95</v>
      </c>
      <c r="I32" s="148">
        <v>272.62</v>
      </c>
      <c r="J32" s="148">
        <v>239.07</v>
      </c>
      <c r="K32" s="147">
        <v>238.03</v>
      </c>
      <c r="L32" s="147">
        <v>233.4</v>
      </c>
      <c r="M32" s="47">
        <v>111.65</v>
      </c>
      <c r="N32" s="38">
        <v>116.01</v>
      </c>
    </row>
    <row r="33" spans="1:248" s="43" customFormat="1" ht="10.5" customHeight="1">
      <c r="A33" s="39"/>
      <c r="B33" s="39"/>
      <c r="C33" s="134"/>
      <c r="D33" s="135"/>
      <c r="E33" s="135"/>
      <c r="F33" s="135"/>
      <c r="G33" s="136"/>
      <c r="H33" s="135"/>
      <c r="I33" s="135"/>
      <c r="J33" s="135"/>
      <c r="K33" s="135"/>
      <c r="L33" s="135"/>
      <c r="M33" s="39"/>
      <c r="N33" s="48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</row>
    <row r="34" spans="1:248" ht="24" customHeight="1">
      <c r="A34" s="34" t="s">
        <v>48</v>
      </c>
      <c r="B34" s="34"/>
      <c r="C34" s="126">
        <v>18959.389999999996</v>
      </c>
      <c r="D34" s="127">
        <v>16496</v>
      </c>
      <c r="E34" s="127">
        <v>14364</v>
      </c>
      <c r="F34" s="127">
        <v>11810</v>
      </c>
      <c r="G34" s="146">
        <v>10019</v>
      </c>
      <c r="H34" s="147">
        <f>7535.81+8.01</f>
        <v>7543.8200000000006</v>
      </c>
      <c r="I34" s="147">
        <v>4989.46</v>
      </c>
      <c r="J34" s="147">
        <f>4107+4</f>
        <v>4111</v>
      </c>
      <c r="K34" s="147">
        <f>3.18+3311.7</f>
        <v>3314.8799999999997</v>
      </c>
      <c r="L34" s="147">
        <f>2675.47+0.03</f>
        <v>2675.5</v>
      </c>
      <c r="M34" s="47">
        <v>1874.88</v>
      </c>
      <c r="N34" s="38">
        <v>1453.82</v>
      </c>
    </row>
    <row r="35" spans="1:248" s="43" customFormat="1" ht="10.5" customHeight="1">
      <c r="A35" s="39"/>
      <c r="B35" s="39"/>
      <c r="C35" s="134"/>
      <c r="D35" s="135"/>
      <c r="E35" s="135"/>
      <c r="F35" s="135"/>
      <c r="G35" s="136"/>
      <c r="H35" s="135"/>
      <c r="I35" s="135"/>
      <c r="J35" s="135"/>
      <c r="K35" s="135"/>
      <c r="L35" s="135"/>
      <c r="M35" s="39"/>
      <c r="N35" s="48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</row>
    <row r="36" spans="1:248" ht="24" customHeight="1">
      <c r="A36" s="34" t="s">
        <v>20</v>
      </c>
      <c r="B36" s="34"/>
      <c r="C36" s="126">
        <f>C32+C34</f>
        <v>19255.089999999997</v>
      </c>
      <c r="D36" s="149">
        <f>D32+D34</f>
        <v>16791</v>
      </c>
      <c r="E36" s="149">
        <v>14659</v>
      </c>
      <c r="F36" s="149">
        <v>12105</v>
      </c>
      <c r="G36" s="146">
        <v>10313</v>
      </c>
      <c r="H36" s="147">
        <f>+H32+H34</f>
        <v>7826.77</v>
      </c>
      <c r="I36" s="147">
        <f t="shared" ref="I36:N36" si="0">+I32+I34</f>
        <v>5262.08</v>
      </c>
      <c r="J36" s="147">
        <f t="shared" si="0"/>
        <v>4350.07</v>
      </c>
      <c r="K36" s="147">
        <f t="shared" si="0"/>
        <v>3552.91</v>
      </c>
      <c r="L36" s="147">
        <f t="shared" si="0"/>
        <v>2908.9</v>
      </c>
      <c r="M36" s="47">
        <f t="shared" si="0"/>
        <v>1986.5300000000002</v>
      </c>
      <c r="N36" s="38">
        <f t="shared" si="0"/>
        <v>1569.83</v>
      </c>
    </row>
    <row r="37" spans="1:248" s="43" customFormat="1" ht="10.5" customHeight="1">
      <c r="A37" s="39"/>
      <c r="B37" s="39"/>
      <c r="C37" s="134"/>
      <c r="D37" s="135"/>
      <c r="E37" s="135"/>
      <c r="F37" s="135"/>
      <c r="G37" s="136"/>
      <c r="H37" s="135"/>
      <c r="I37" s="135"/>
      <c r="J37" s="135"/>
      <c r="K37" s="135"/>
      <c r="L37" s="135"/>
      <c r="M37" s="39"/>
      <c r="N37" s="48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</row>
    <row r="38" spans="1:248" s="57" customFormat="1" ht="24" customHeight="1">
      <c r="A38" s="49" t="s">
        <v>21</v>
      </c>
      <c r="B38" s="49"/>
      <c r="C38" s="50">
        <v>325.41000000000003</v>
      </c>
      <c r="D38" s="51">
        <v>284.26</v>
      </c>
      <c r="E38" s="51">
        <v>248.14</v>
      </c>
      <c r="F38" s="52">
        <v>205.32</v>
      </c>
      <c r="G38" s="53">
        <v>175.43</v>
      </c>
      <c r="H38" s="54" t="s">
        <v>33</v>
      </c>
      <c r="I38" s="55">
        <v>192.12</v>
      </c>
      <c r="J38" s="55">
        <v>180.87</v>
      </c>
      <c r="K38" s="55">
        <v>147.97999999999999</v>
      </c>
      <c r="L38" s="55" t="s">
        <v>22</v>
      </c>
      <c r="M38" s="56">
        <v>174.46</v>
      </c>
      <c r="N38" s="56">
        <v>130.56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</row>
    <row r="39" spans="1:248" s="23" customFormat="1" ht="6.75" customHeight="1" thickBot="1">
      <c r="C39" s="28"/>
      <c r="D39" s="58"/>
      <c r="E39" s="59"/>
      <c r="F39" s="59"/>
      <c r="G39" s="60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</row>
    <row r="40" spans="1:248" s="46" customFormat="1" ht="11.25" customHeight="1">
      <c r="D40" s="32"/>
      <c r="E40" s="32"/>
      <c r="F40" s="32"/>
      <c r="G40" s="32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</row>
    <row r="41" spans="1:248" s="46" customFormat="1" ht="17.45" customHeight="1">
      <c r="A41" s="61" t="s">
        <v>52</v>
      </c>
      <c r="D41" s="32"/>
      <c r="E41" s="32"/>
      <c r="F41" s="32"/>
      <c r="G41" s="32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</row>
    <row r="42" spans="1:248" s="46" customFormat="1" ht="17.45" customHeight="1">
      <c r="A42" s="61" t="s">
        <v>32</v>
      </c>
      <c r="D42" s="32"/>
      <c r="E42" s="32"/>
      <c r="F42" s="32"/>
      <c r="G42" s="32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</row>
    <row r="43" spans="1:248" ht="15.75">
      <c r="A43" s="62" t="s">
        <v>58</v>
      </c>
    </row>
    <row r="44" spans="1:248" ht="24" customHeight="1">
      <c r="A44" s="63" t="s">
        <v>53</v>
      </c>
    </row>
    <row r="45" spans="1:248" ht="24" hidden="1" customHeight="1">
      <c r="A45" s="63" t="s">
        <v>23</v>
      </c>
    </row>
    <row r="46" spans="1:248" ht="24" customHeight="1">
      <c r="A46" s="63" t="s">
        <v>57</v>
      </c>
      <c r="H46" s="56"/>
      <c r="I46" s="56"/>
      <c r="J46" s="56"/>
      <c r="K46" s="56"/>
      <c r="L46" s="56"/>
      <c r="M46" s="56"/>
      <c r="N46" s="64">
        <v>173029.31</v>
      </c>
    </row>
    <row r="47" spans="1:248" ht="24" customHeight="1">
      <c r="G47" s="65"/>
      <c r="H47" s="56"/>
      <c r="I47" s="56"/>
      <c r="J47" s="56"/>
      <c r="K47" s="56"/>
      <c r="L47" s="56"/>
      <c r="M47" s="56"/>
      <c r="N47" s="64"/>
    </row>
    <row r="49" spans="3:14" ht="24" customHeight="1">
      <c r="C49" s="66"/>
      <c r="D49" s="67"/>
      <c r="E49" s="67"/>
      <c r="F49" s="67"/>
      <c r="G49" s="67"/>
    </row>
    <row r="51" spans="3:14" ht="24" customHeight="1">
      <c r="C51" s="67"/>
      <c r="D51" s="67"/>
      <c r="E51" s="67"/>
      <c r="F51" s="67"/>
      <c r="G51" s="67"/>
      <c r="H51" s="66"/>
      <c r="I51" s="66"/>
      <c r="J51" s="66"/>
      <c r="K51" s="66"/>
      <c r="L51" s="66"/>
      <c r="M51" s="66"/>
      <c r="N51" s="66"/>
    </row>
  </sheetData>
  <mergeCells count="3">
    <mergeCell ref="A16:B16"/>
    <mergeCell ref="H4:N4"/>
    <mergeCell ref="C4:G4"/>
  </mergeCells>
  <phoneticPr fontId="3" type="noConversion"/>
  <pageMargins left="0.59055118110236227" right="0.31496062992125984" top="0.23622047244094491" bottom="0.35433070866141736" header="0.23622047244094491" footer="0.11811023622047245"/>
  <pageSetup paperSize="9" scale="73" orientation="landscape" r:id="rId1"/>
  <headerFooter alignWithMargins="0">
    <oddFooter>&amp;R&amp;F  &amp;A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46"/>
  <sheetViews>
    <sheetView tabSelected="1" workbookViewId="0"/>
  </sheetViews>
  <sheetFormatPr defaultColWidth="9.140625" defaultRowHeight="24" customHeight="1"/>
  <cols>
    <col min="1" max="1" width="15.85546875" style="11" customWidth="1"/>
    <col min="2" max="2" width="9.5703125" style="11" customWidth="1"/>
    <col min="3" max="4" width="9" style="11" customWidth="1"/>
    <col min="5" max="5" width="11.5703125" style="11" customWidth="1"/>
    <col min="6" max="7" width="12.140625" style="11" customWidth="1"/>
    <col min="8" max="9" width="12.7109375" style="11" customWidth="1"/>
    <col min="10" max="10" width="11.5703125" style="11" customWidth="1"/>
    <col min="11" max="11" width="12" style="11" customWidth="1"/>
    <col min="12" max="12" width="12.7109375" style="11" customWidth="1"/>
    <col min="13" max="13" width="13.42578125" style="66" customWidth="1"/>
    <col min="14" max="14" width="13.42578125" style="11" customWidth="1"/>
    <col min="15" max="16" width="13.42578125" style="11" hidden="1" customWidth="1"/>
    <col min="17" max="16384" width="9.140625" style="11"/>
  </cols>
  <sheetData>
    <row r="1" spans="1:249" ht="24.75" customHeight="1">
      <c r="A1" s="68" t="s">
        <v>0</v>
      </c>
    </row>
    <row r="2" spans="1:249" ht="24.75" customHeight="1">
      <c r="A2" s="7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9"/>
      <c r="N2" s="1"/>
      <c r="O2" s="1"/>
      <c r="P2" s="1"/>
    </row>
    <row r="3" spans="1:249" ht="24.75" customHeight="1" thickBot="1">
      <c r="A3" s="7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9"/>
      <c r="N3" s="150" t="s">
        <v>60</v>
      </c>
      <c r="O3" s="14"/>
      <c r="P3" s="72"/>
    </row>
    <row r="4" spans="1:249" s="23" customFormat="1" ht="24.75" customHeight="1" thickBot="1">
      <c r="A4" s="3"/>
      <c r="E4" s="19" t="s">
        <v>36</v>
      </c>
      <c r="F4" s="15"/>
      <c r="G4" s="15"/>
      <c r="H4" s="15"/>
      <c r="I4" s="20"/>
      <c r="J4" s="13"/>
      <c r="K4" s="13" t="s">
        <v>35</v>
      </c>
      <c r="L4" s="13"/>
      <c r="M4" s="13"/>
      <c r="N4" s="13"/>
      <c r="O4" s="13"/>
      <c r="P4" s="7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</row>
    <row r="5" spans="1:249" s="2" customFormat="1" ht="21" customHeight="1">
      <c r="E5" s="74">
        <v>2015</v>
      </c>
      <c r="F5" s="75">
        <v>2014</v>
      </c>
      <c r="G5" s="75">
        <v>2013</v>
      </c>
      <c r="H5" s="75">
        <v>2012</v>
      </c>
      <c r="I5" s="76">
        <v>2011</v>
      </c>
      <c r="J5" s="77">
        <v>2010</v>
      </c>
      <c r="K5" s="77">
        <v>2009</v>
      </c>
      <c r="L5" s="77">
        <v>2008</v>
      </c>
      <c r="M5" s="77">
        <v>2007</v>
      </c>
      <c r="N5" s="27">
        <v>2006</v>
      </c>
      <c r="O5" s="27">
        <v>2005</v>
      </c>
      <c r="P5" s="27">
        <v>2003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</row>
    <row r="6" spans="1:249" s="23" customFormat="1" ht="12.75" customHeight="1" thickBot="1">
      <c r="E6" s="28"/>
      <c r="I6" s="78"/>
      <c r="M6" s="79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</row>
    <row r="7" spans="1:249" s="46" customFormat="1" ht="24" customHeight="1">
      <c r="E7" s="31"/>
      <c r="F7" s="80"/>
      <c r="G7" s="80"/>
      <c r="I7" s="81"/>
      <c r="M7" s="82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</row>
    <row r="8" spans="1:249" ht="24" customHeight="1">
      <c r="A8" s="34" t="s">
        <v>37</v>
      </c>
      <c r="B8" s="34"/>
      <c r="C8" s="34"/>
      <c r="D8" s="34"/>
      <c r="E8" s="126">
        <v>41982.05</v>
      </c>
      <c r="F8" s="127">
        <v>43838</v>
      </c>
      <c r="G8" s="127">
        <v>43962</v>
      </c>
      <c r="H8" s="127">
        <v>34820</v>
      </c>
      <c r="I8" s="128">
        <v>25989</v>
      </c>
      <c r="J8" s="129">
        <f>19832.06+564.06+199.35+129.04-0.02</f>
        <v>20724.490000000002</v>
      </c>
      <c r="K8" s="129">
        <f>14268.41+444.62+270.34+88.86</f>
        <v>15072.230000000001</v>
      </c>
      <c r="L8" s="129">
        <f>12371.03+867+63.35</f>
        <v>13301.380000000001</v>
      </c>
      <c r="M8" s="130">
        <f>10940.5+617.52+87.25</f>
        <v>11645.27</v>
      </c>
      <c r="N8" s="130">
        <f>9113.66+337.77+45.36-0.3</f>
        <v>9496.4900000000016</v>
      </c>
      <c r="O8" s="87">
        <f>7804.09+35.82</f>
        <v>7839.91</v>
      </c>
      <c r="P8" s="87">
        <f>4596.79+29</f>
        <v>4625.79</v>
      </c>
    </row>
    <row r="9" spans="1:249" s="5" customFormat="1" ht="9.75" customHeight="1">
      <c r="A9" s="88"/>
      <c r="B9" s="88"/>
      <c r="C9" s="88"/>
      <c r="D9" s="88"/>
      <c r="E9" s="131"/>
      <c r="F9" s="132"/>
      <c r="G9" s="132"/>
      <c r="H9" s="132"/>
      <c r="I9" s="133"/>
      <c r="J9" s="132"/>
      <c r="K9" s="132"/>
      <c r="L9" s="132"/>
      <c r="M9" s="132"/>
      <c r="N9" s="132"/>
      <c r="O9" s="89"/>
      <c r="P9" s="88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</row>
    <row r="10" spans="1:249" ht="24" customHeight="1">
      <c r="A10" s="34" t="s">
        <v>1</v>
      </c>
      <c r="B10" s="34"/>
      <c r="C10" s="34"/>
      <c r="D10" s="34"/>
      <c r="E10" s="126">
        <v>27955.48</v>
      </c>
      <c r="F10" s="127">
        <v>29432</v>
      </c>
      <c r="G10" s="127">
        <v>30425</v>
      </c>
      <c r="H10" s="127">
        <v>23500</v>
      </c>
      <c r="I10" s="128">
        <v>16264</v>
      </c>
      <c r="J10" s="129">
        <v>12332.92</v>
      </c>
      <c r="K10" s="129">
        <v>9274.23</v>
      </c>
      <c r="L10" s="129">
        <f>7725.91</f>
        <v>7725.91</v>
      </c>
      <c r="M10" s="130">
        <v>6827.93</v>
      </c>
      <c r="N10" s="130">
        <v>5713.76</v>
      </c>
      <c r="O10" s="87">
        <f>4595.37+7.27</f>
        <v>4602.6400000000003</v>
      </c>
      <c r="P10" s="87">
        <v>2500.2199999999998</v>
      </c>
    </row>
    <row r="11" spans="1:249" s="43" customFormat="1" ht="9.75" customHeight="1">
      <c r="A11" s="39"/>
      <c r="B11" s="39"/>
      <c r="C11" s="39"/>
      <c r="D11" s="39"/>
      <c r="E11" s="134"/>
      <c r="F11" s="135"/>
      <c r="G11" s="135"/>
      <c r="H11" s="135"/>
      <c r="I11" s="136"/>
      <c r="J11" s="135"/>
      <c r="K11" s="135"/>
      <c r="L11" s="135"/>
      <c r="M11" s="135"/>
      <c r="N11" s="135"/>
      <c r="O11" s="91"/>
      <c r="P11" s="39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</row>
    <row r="12" spans="1:249" ht="24" customHeight="1">
      <c r="A12" s="34" t="s">
        <v>2</v>
      </c>
      <c r="B12" s="34"/>
      <c r="C12" s="34"/>
      <c r="D12" s="34"/>
      <c r="E12" s="126">
        <v>2187.69</v>
      </c>
      <c r="F12" s="127">
        <v>2612</v>
      </c>
      <c r="G12" s="127">
        <v>2972</v>
      </c>
      <c r="H12" s="127">
        <v>2501</v>
      </c>
      <c r="I12" s="128">
        <v>2095</v>
      </c>
      <c r="J12" s="129">
        <f>1794.01+13.29</f>
        <v>1807.3</v>
      </c>
      <c r="K12" s="129">
        <f>1619.35-32.3</f>
        <v>1587.05</v>
      </c>
      <c r="L12" s="129">
        <f>1566.39+18.18-0.08</f>
        <v>1584.4900000000002</v>
      </c>
      <c r="M12" s="130">
        <f>1336.78-2.14</f>
        <v>1334.6399999999999</v>
      </c>
      <c r="N12" s="130">
        <f>1124.89+11.61-0.01</f>
        <v>1136.49</v>
      </c>
      <c r="O12" s="87">
        <v>1054.82</v>
      </c>
      <c r="P12" s="87">
        <v>785.01</v>
      </c>
    </row>
    <row r="13" spans="1:249" s="43" customFormat="1" ht="9.75" customHeight="1">
      <c r="A13" s="39"/>
      <c r="B13" s="39"/>
      <c r="C13" s="39"/>
      <c r="D13" s="39"/>
      <c r="E13" s="134"/>
      <c r="F13" s="135"/>
      <c r="G13" s="135"/>
      <c r="H13" s="135"/>
      <c r="I13" s="136"/>
      <c r="J13" s="135"/>
      <c r="K13" s="135"/>
      <c r="L13" s="135"/>
      <c r="M13" s="135"/>
      <c r="N13" s="135"/>
      <c r="O13" s="91"/>
      <c r="P13" s="39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</row>
    <row r="14" spans="1:249" ht="24" customHeight="1">
      <c r="A14" s="34" t="s">
        <v>3</v>
      </c>
      <c r="B14" s="34"/>
      <c r="C14" s="34"/>
      <c r="D14" s="34"/>
      <c r="E14" s="126">
        <v>2316.9299999999998</v>
      </c>
      <c r="F14" s="127">
        <v>2164</v>
      </c>
      <c r="G14" s="127">
        <v>1866</v>
      </c>
      <c r="H14" s="127">
        <v>1701</v>
      </c>
      <c r="I14" s="128">
        <v>1432</v>
      </c>
      <c r="J14" s="129">
        <v>1198.47</v>
      </c>
      <c r="K14" s="129">
        <v>1024.6099999999999</v>
      </c>
      <c r="L14" s="129">
        <v>868.14</v>
      </c>
      <c r="M14" s="130">
        <f>666.15</f>
        <v>666.15</v>
      </c>
      <c r="N14" s="130">
        <f>551.78+0.78</f>
        <v>552.55999999999995</v>
      </c>
      <c r="O14" s="87">
        <v>464.59</v>
      </c>
      <c r="P14" s="87">
        <f>381.29+3.87</f>
        <v>385.16</v>
      </c>
    </row>
    <row r="15" spans="1:249" s="43" customFormat="1" ht="9.75" customHeight="1">
      <c r="A15" s="39"/>
      <c r="B15" s="39"/>
      <c r="C15" s="39"/>
      <c r="D15" s="39"/>
      <c r="E15" s="134"/>
      <c r="F15" s="135"/>
      <c r="G15" s="135"/>
      <c r="H15" s="135"/>
      <c r="I15" s="136"/>
      <c r="J15" s="135"/>
      <c r="K15" s="135"/>
      <c r="L15" s="135"/>
      <c r="M15" s="135"/>
      <c r="N15" s="135"/>
      <c r="O15" s="91"/>
      <c r="P15" s="39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</row>
    <row r="16" spans="1:249" ht="24" customHeight="1">
      <c r="A16" s="34" t="s">
        <v>42</v>
      </c>
      <c r="B16" s="34"/>
      <c r="C16" s="34"/>
      <c r="D16" s="34"/>
      <c r="E16" s="126">
        <v>214.3</v>
      </c>
      <c r="F16" s="127">
        <v>259</v>
      </c>
      <c r="G16" s="127">
        <v>191</v>
      </c>
      <c r="H16" s="127">
        <v>163</v>
      </c>
      <c r="I16" s="128">
        <v>72</v>
      </c>
      <c r="J16" s="129">
        <f>27.81+129.04</f>
        <v>156.85</v>
      </c>
      <c r="K16" s="129">
        <f>45.26+88.86</f>
        <v>134.12</v>
      </c>
      <c r="L16" s="129">
        <f>24.24+63.35-0.1</f>
        <v>87.490000000000009</v>
      </c>
      <c r="M16" s="130">
        <f>-67.45+87.25</f>
        <v>19.799999999999997</v>
      </c>
      <c r="N16" s="130">
        <f>-18.4+45.36</f>
        <v>26.96</v>
      </c>
      <c r="O16" s="93">
        <f>-5.58+35.82</f>
        <v>30.240000000000002</v>
      </c>
      <c r="P16" s="87">
        <f>86.9+29</f>
        <v>115.9</v>
      </c>
    </row>
    <row r="17" spans="1:249" s="43" customFormat="1" ht="9.75" customHeight="1">
      <c r="A17" s="39"/>
      <c r="B17" s="39"/>
      <c r="C17" s="39"/>
      <c r="D17" s="39"/>
      <c r="E17" s="134"/>
      <c r="F17" s="135"/>
      <c r="G17" s="135"/>
      <c r="H17" s="135"/>
      <c r="I17" s="136"/>
      <c r="J17" s="135"/>
      <c r="K17" s="135"/>
      <c r="L17" s="135"/>
      <c r="M17" s="135"/>
      <c r="N17" s="135"/>
      <c r="O17" s="91"/>
      <c r="P17" s="39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</row>
    <row r="18" spans="1:249" ht="31.15" customHeight="1">
      <c r="A18" s="94" t="s">
        <v>39</v>
      </c>
      <c r="B18" s="94"/>
      <c r="C18" s="94"/>
      <c r="D18" s="95"/>
      <c r="E18" s="126">
        <v>974.9</v>
      </c>
      <c r="F18" s="137">
        <v>863</v>
      </c>
      <c r="G18" s="137">
        <v>711</v>
      </c>
      <c r="H18" s="138">
        <v>576</v>
      </c>
      <c r="I18" s="139">
        <v>414</v>
      </c>
      <c r="J18" s="129">
        <v>370.78</v>
      </c>
      <c r="K18" s="129">
        <v>291.51</v>
      </c>
      <c r="L18" s="129">
        <v>238.66</v>
      </c>
      <c r="M18" s="130">
        <v>209</v>
      </c>
      <c r="N18" s="130">
        <v>200.01</v>
      </c>
      <c r="O18" s="87">
        <v>184.05</v>
      </c>
      <c r="P18" s="87">
        <v>165.44</v>
      </c>
    </row>
    <row r="19" spans="1:249" s="43" customFormat="1" ht="9.75" customHeight="1">
      <c r="A19" s="39"/>
      <c r="B19" s="39"/>
      <c r="C19" s="39"/>
      <c r="D19" s="39"/>
      <c r="E19" s="134"/>
      <c r="F19" s="135"/>
      <c r="G19" s="135"/>
      <c r="H19" s="135"/>
      <c r="I19" s="136"/>
      <c r="J19" s="135"/>
      <c r="K19" s="135"/>
      <c r="L19" s="135"/>
      <c r="M19" s="135"/>
      <c r="N19" s="135"/>
      <c r="O19" s="91"/>
      <c r="P19" s="39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</row>
    <row r="20" spans="1:249" ht="24" customHeight="1">
      <c r="A20" s="34" t="s">
        <v>4</v>
      </c>
      <c r="B20" s="34"/>
      <c r="C20" s="34"/>
      <c r="D20" s="34"/>
      <c r="E20" s="126">
        <v>4499.58</v>
      </c>
      <c r="F20" s="127">
        <v>4191</v>
      </c>
      <c r="G20" s="127">
        <v>3441</v>
      </c>
      <c r="H20" s="127">
        <v>2881</v>
      </c>
      <c r="I20" s="128">
        <v>2310</v>
      </c>
      <c r="J20" s="129">
        <f>2161.74-59.55</f>
        <v>2102.1899999999996</v>
      </c>
      <c r="K20" s="129">
        <f>1777.34-42.83-0.25</f>
        <v>1734.26</v>
      </c>
      <c r="L20" s="129">
        <f>1608.96-46.49+0.03</f>
        <v>1562.5</v>
      </c>
      <c r="M20" s="130">
        <f>1318.57-47.1</f>
        <v>1271.47</v>
      </c>
      <c r="N20" s="130">
        <f>1004.03-26.53-0.01</f>
        <v>977.49</v>
      </c>
      <c r="O20" s="87">
        <f>750.35-7.27+59.87</f>
        <v>802.95</v>
      </c>
      <c r="P20" s="87">
        <f>553.86-19.17+0.22</f>
        <v>534.91000000000008</v>
      </c>
    </row>
    <row r="21" spans="1:249" s="43" customFormat="1" ht="9.75" customHeight="1">
      <c r="A21" s="39"/>
      <c r="B21" s="39"/>
      <c r="C21" s="39"/>
      <c r="D21" s="39"/>
      <c r="E21" s="134"/>
      <c r="F21" s="135"/>
      <c r="G21" s="135"/>
      <c r="H21" s="135"/>
      <c r="I21" s="136"/>
      <c r="J21" s="135"/>
      <c r="K21" s="135"/>
      <c r="L21" s="135"/>
      <c r="M21" s="135"/>
      <c r="N21" s="135"/>
      <c r="O21" s="91"/>
      <c r="P21" s="39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</row>
    <row r="22" spans="1:249" ht="24" customHeight="1">
      <c r="A22" s="34" t="s">
        <v>5</v>
      </c>
      <c r="B22" s="34"/>
      <c r="C22" s="34"/>
      <c r="D22" s="34"/>
      <c r="E22" s="126">
        <v>335.72</v>
      </c>
      <c r="F22" s="127">
        <v>52</v>
      </c>
      <c r="G22" s="127">
        <v>91</v>
      </c>
      <c r="H22" s="127">
        <v>108</v>
      </c>
      <c r="I22" s="128">
        <v>118</v>
      </c>
      <c r="J22" s="129">
        <v>90.75</v>
      </c>
      <c r="K22" s="129">
        <v>10.27</v>
      </c>
      <c r="L22" s="129">
        <v>172.73</v>
      </c>
      <c r="M22" s="130">
        <v>121.98</v>
      </c>
      <c r="N22" s="130">
        <v>210.01</v>
      </c>
      <c r="O22" s="87">
        <v>13.55</v>
      </c>
      <c r="P22" s="38">
        <f>-57.66+0.17</f>
        <v>-57.489999999999995</v>
      </c>
    </row>
    <row r="23" spans="1:249" s="43" customFormat="1" ht="9.75" customHeight="1">
      <c r="A23" s="39"/>
      <c r="B23" s="39"/>
      <c r="C23" s="39"/>
      <c r="D23" s="39"/>
      <c r="E23" s="134"/>
      <c r="F23" s="135"/>
      <c r="G23" s="135"/>
      <c r="H23" s="135"/>
      <c r="I23" s="136"/>
      <c r="J23" s="135"/>
      <c r="K23" s="135"/>
      <c r="L23" s="135"/>
      <c r="M23" s="135"/>
      <c r="N23" s="135"/>
      <c r="O23" s="91"/>
      <c r="P23" s="39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</row>
    <row r="24" spans="1:249" s="4" customFormat="1" ht="24" customHeight="1">
      <c r="A24" s="34" t="s">
        <v>6</v>
      </c>
      <c r="B24" s="34"/>
      <c r="C24" s="34"/>
      <c r="D24" s="34"/>
      <c r="E24" s="140">
        <f t="shared" ref="E24:J24" si="0">+E8-E10-E12-E14-E16-E18-E20+E22</f>
        <v>4168.890000000004</v>
      </c>
      <c r="F24" s="141">
        <f t="shared" si="0"/>
        <v>4369</v>
      </c>
      <c r="G24" s="141">
        <f t="shared" si="0"/>
        <v>4447</v>
      </c>
      <c r="H24" s="127">
        <f t="shared" si="0"/>
        <v>3606</v>
      </c>
      <c r="I24" s="128">
        <f t="shared" si="0"/>
        <v>3520</v>
      </c>
      <c r="J24" s="130">
        <f t="shared" si="0"/>
        <v>2846.7300000000014</v>
      </c>
      <c r="K24" s="130">
        <f>+K8-K10-K12-K14-K16-K18-K20+K22-0.24</f>
        <v>1036.4800000000018</v>
      </c>
      <c r="L24" s="130">
        <f>+L8-L10-L12-L14-L16-L18-L20+L22</f>
        <v>1406.9200000000014</v>
      </c>
      <c r="M24" s="130">
        <f>+M8-M10-M12-M14-M16-M18-M20+M22-0.35</f>
        <v>1437.91</v>
      </c>
      <c r="N24" s="130">
        <f>+N8-N10-N12-N14-N16-N18-N20+N22-0.03</f>
        <v>1099.2000000000016</v>
      </c>
      <c r="O24" s="87">
        <f>+O8-O10-O12-O14-O16-O18-O20+O22</f>
        <v>714.16999999999985</v>
      </c>
      <c r="P24" s="87">
        <f>+P8-P10-P12-P14-P16-P18-P20-P22</f>
        <v>196.6400000000001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</row>
    <row r="25" spans="1:249" s="5" customFormat="1" ht="9.75" customHeight="1">
      <c r="A25" s="39"/>
      <c r="B25" s="39"/>
      <c r="C25" s="39"/>
      <c r="D25" s="39"/>
      <c r="E25" s="134"/>
      <c r="F25" s="135"/>
      <c r="G25" s="135"/>
      <c r="H25" s="135"/>
      <c r="I25" s="136"/>
      <c r="J25" s="135"/>
      <c r="K25" s="135"/>
      <c r="L25" s="135"/>
      <c r="M25" s="135"/>
      <c r="N25" s="135"/>
      <c r="O25" s="91"/>
      <c r="P25" s="39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</row>
    <row r="26" spans="1:249" ht="24" customHeight="1">
      <c r="A26" s="34" t="s">
        <v>47</v>
      </c>
      <c r="B26" s="34"/>
      <c r="C26" s="34"/>
      <c r="D26" s="34"/>
      <c r="E26" s="126">
        <v>847.78</v>
      </c>
      <c r="F26" s="127">
        <v>611.08000000000004</v>
      </c>
      <c r="G26" s="127">
        <v>1094</v>
      </c>
      <c r="H26" s="127">
        <v>727</v>
      </c>
      <c r="I26" s="128">
        <v>858</v>
      </c>
      <c r="J26" s="129">
        <f>749.33+9.67</f>
        <v>759</v>
      </c>
      <c r="K26" s="129">
        <f>58+141</f>
        <v>199</v>
      </c>
      <c r="L26" s="129">
        <f>278.75+24.65+0.1</f>
        <v>303.5</v>
      </c>
      <c r="M26" s="130">
        <f>365.73-15.63+0.15+0.55</f>
        <v>350.8</v>
      </c>
      <c r="N26" s="130">
        <f>285.4-43</f>
        <v>242.39999999999998</v>
      </c>
      <c r="O26" s="87">
        <f>215-13.5-0.01</f>
        <v>201.49</v>
      </c>
      <c r="P26" s="87">
        <f>12.3+39.2-0.01</f>
        <v>51.49</v>
      </c>
    </row>
    <row r="27" spans="1:249" s="43" customFormat="1" ht="9.75" customHeight="1">
      <c r="A27" s="39"/>
      <c r="B27" s="39"/>
      <c r="C27" s="39"/>
      <c r="D27" s="39"/>
      <c r="E27" s="134"/>
      <c r="F27" s="135"/>
      <c r="G27" s="135"/>
      <c r="H27" s="135"/>
      <c r="I27" s="136"/>
      <c r="J27" s="135"/>
      <c r="K27" s="135"/>
      <c r="L27" s="135"/>
      <c r="M27" s="135"/>
      <c r="N27" s="135"/>
      <c r="O27" s="91"/>
      <c r="P27" s="97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</row>
    <row r="28" spans="1:249" ht="24" customHeight="1">
      <c r="A28" s="34" t="s">
        <v>7</v>
      </c>
      <c r="B28" s="34"/>
      <c r="C28" s="34"/>
      <c r="D28" s="34"/>
      <c r="E28" s="83">
        <v>0</v>
      </c>
      <c r="F28" s="84">
        <v>0</v>
      </c>
      <c r="G28" s="84">
        <v>0</v>
      </c>
      <c r="H28" s="84">
        <v>0</v>
      </c>
      <c r="I28" s="85">
        <v>0</v>
      </c>
      <c r="J28" s="86">
        <v>0</v>
      </c>
      <c r="K28" s="98" t="s">
        <v>30</v>
      </c>
      <c r="L28" s="86">
        <v>0</v>
      </c>
      <c r="M28" s="86">
        <v>-19.190000000000001</v>
      </c>
      <c r="N28" s="86">
        <v>0</v>
      </c>
      <c r="O28" s="86">
        <v>0</v>
      </c>
      <c r="P28" s="34">
        <v>0</v>
      </c>
    </row>
    <row r="29" spans="1:249" s="43" customFormat="1" ht="9.75" customHeight="1">
      <c r="A29" s="39"/>
      <c r="B29" s="39"/>
      <c r="C29" s="39"/>
      <c r="D29" s="39"/>
      <c r="E29" s="90"/>
      <c r="F29" s="91"/>
      <c r="G29" s="91"/>
      <c r="H29" s="91"/>
      <c r="I29" s="92"/>
      <c r="J29" s="91"/>
      <c r="K29" s="91"/>
      <c r="L29" s="91"/>
      <c r="M29" s="91"/>
      <c r="N29" s="91"/>
      <c r="O29" s="91"/>
      <c r="P29" s="39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</row>
    <row r="30" spans="1:249" ht="24" customHeight="1">
      <c r="A30" s="34" t="s">
        <v>8</v>
      </c>
      <c r="B30" s="34"/>
      <c r="C30" s="34"/>
      <c r="D30" s="34"/>
      <c r="E30" s="83">
        <f t="shared" ref="E30:J30" si="1">E24-E26</f>
        <v>3321.1100000000042</v>
      </c>
      <c r="F30" s="84">
        <f t="shared" si="1"/>
        <v>3757.92</v>
      </c>
      <c r="G30" s="84">
        <f t="shared" si="1"/>
        <v>3353</v>
      </c>
      <c r="H30" s="84">
        <f t="shared" si="1"/>
        <v>2879</v>
      </c>
      <c r="I30" s="85">
        <f t="shared" si="1"/>
        <v>2662</v>
      </c>
      <c r="J30" s="86">
        <f t="shared" si="1"/>
        <v>2087.7300000000014</v>
      </c>
      <c r="K30" s="86">
        <f>K24-K26+30.73</f>
        <v>868.21000000000186</v>
      </c>
      <c r="L30" s="87">
        <v>1103</v>
      </c>
      <c r="M30" s="87">
        <f>+M24-M26+M28</f>
        <v>1067.92</v>
      </c>
      <c r="N30" s="87">
        <f>+N24-N26-N28</f>
        <v>856.80000000000166</v>
      </c>
      <c r="O30" s="87">
        <f>+O24-O26-O28</f>
        <v>512.67999999999984</v>
      </c>
      <c r="P30" s="87">
        <f>+P24-P26-P28+0.37</f>
        <v>145.5200000000001</v>
      </c>
    </row>
    <row r="31" spans="1:249" s="43" customFormat="1" ht="9.75" customHeight="1">
      <c r="A31" s="39"/>
      <c r="B31" s="39"/>
      <c r="C31" s="39"/>
      <c r="D31" s="39"/>
      <c r="E31" s="90"/>
      <c r="F31" s="91"/>
      <c r="G31" s="91"/>
      <c r="H31" s="91"/>
      <c r="I31" s="92"/>
      <c r="J31" s="91"/>
      <c r="K31" s="91"/>
      <c r="L31" s="91"/>
      <c r="M31" s="91"/>
      <c r="N31" s="91"/>
      <c r="O31" s="91"/>
      <c r="P31" s="39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</row>
    <row r="32" spans="1:249" s="6" customFormat="1" ht="24" customHeight="1">
      <c r="A32" s="99" t="s">
        <v>9</v>
      </c>
      <c r="B32" s="99"/>
      <c r="C32" s="99"/>
      <c r="D32" s="99"/>
      <c r="E32" s="100" t="s">
        <v>56</v>
      </c>
      <c r="F32" s="101" t="s">
        <v>55</v>
      </c>
      <c r="G32" s="102" t="s">
        <v>50</v>
      </c>
      <c r="H32" s="102" t="s">
        <v>49</v>
      </c>
      <c r="I32" s="103" t="s">
        <v>38</v>
      </c>
      <c r="J32" s="104" t="s">
        <v>34</v>
      </c>
      <c r="K32" s="104" t="s">
        <v>31</v>
      </c>
      <c r="L32" s="104" t="s">
        <v>28</v>
      </c>
      <c r="M32" s="104" t="s">
        <v>26</v>
      </c>
      <c r="N32" s="104" t="s">
        <v>27</v>
      </c>
      <c r="O32" s="104" t="s">
        <v>24</v>
      </c>
      <c r="P32" s="105" t="s">
        <v>25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</row>
    <row r="33" spans="1:249" s="7" customFormat="1" ht="9.75" customHeight="1">
      <c r="A33" s="106"/>
      <c r="B33" s="106"/>
      <c r="C33" s="106"/>
      <c r="D33" s="106"/>
      <c r="E33" s="90"/>
      <c r="F33" s="91"/>
      <c r="G33" s="91"/>
      <c r="H33" s="91"/>
      <c r="I33" s="92"/>
      <c r="J33" s="91"/>
      <c r="K33" s="91"/>
      <c r="L33" s="91"/>
      <c r="M33" s="91"/>
      <c r="N33" s="91"/>
      <c r="O33" s="91"/>
      <c r="P33" s="106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</row>
    <row r="34" spans="1:249" s="110" customFormat="1" ht="24" customHeight="1">
      <c r="A34" s="107" t="s">
        <v>10</v>
      </c>
      <c r="B34" s="108"/>
      <c r="C34" s="108"/>
      <c r="D34" s="108"/>
      <c r="E34" s="100">
        <v>240</v>
      </c>
      <c r="F34" s="96">
        <v>280</v>
      </c>
      <c r="G34" s="96">
        <v>260</v>
      </c>
      <c r="H34" s="96">
        <v>250</v>
      </c>
      <c r="I34" s="103">
        <v>230</v>
      </c>
      <c r="J34" s="104">
        <v>190</v>
      </c>
      <c r="K34" s="98">
        <v>100</v>
      </c>
      <c r="L34" s="98">
        <v>115</v>
      </c>
      <c r="M34" s="98">
        <v>115</v>
      </c>
      <c r="N34" s="98">
        <v>100</v>
      </c>
      <c r="O34" s="98">
        <v>130</v>
      </c>
      <c r="P34" s="109">
        <v>55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</row>
    <row r="35" spans="1:249" s="116" customFormat="1" ht="10.5" customHeight="1">
      <c r="A35" s="111"/>
      <c r="B35" s="112"/>
      <c r="C35" s="112"/>
      <c r="D35" s="112"/>
      <c r="E35" s="113"/>
      <c r="F35" s="114"/>
      <c r="G35" s="114"/>
      <c r="H35" s="114"/>
      <c r="I35" s="115"/>
      <c r="J35" s="114"/>
      <c r="K35" s="114"/>
      <c r="L35" s="114"/>
      <c r="M35" s="114"/>
      <c r="N35" s="114"/>
      <c r="O35" s="114"/>
      <c r="P35" s="112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</row>
    <row r="36" spans="1:249" s="8" customFormat="1" ht="24" customHeight="1">
      <c r="A36" s="117" t="s">
        <v>54</v>
      </c>
      <c r="B36" s="108"/>
      <c r="C36" s="108"/>
      <c r="D36" s="108"/>
      <c r="E36" s="118">
        <v>56.23</v>
      </c>
      <c r="F36" s="119">
        <v>63.665963796978609</v>
      </c>
      <c r="G36" s="119">
        <v>56.85</v>
      </c>
      <c r="H36" s="119">
        <v>48.97</v>
      </c>
      <c r="I36" s="120">
        <v>46.21</v>
      </c>
      <c r="J36" s="121">
        <v>37.97</v>
      </c>
      <c r="K36" s="121">
        <f>31.83/2</f>
        <v>15.914999999999999</v>
      </c>
      <c r="L36" s="121">
        <f>46.24/2</f>
        <v>23.12</v>
      </c>
      <c r="M36" s="121">
        <f>45.15/2</f>
        <v>22.574999999999999</v>
      </c>
      <c r="N36" s="121">
        <f>38.07/2</f>
        <v>19.035</v>
      </c>
      <c r="O36" s="98">
        <f>23.04/2</f>
        <v>11.52</v>
      </c>
      <c r="P36" s="122">
        <f>12.55/4</f>
        <v>3.1375000000000002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</row>
    <row r="37" spans="1:249" s="23" customFormat="1" ht="11.25" customHeight="1" thickBot="1">
      <c r="E37" s="28"/>
      <c r="F37" s="123"/>
      <c r="G37" s="123"/>
      <c r="H37" s="123"/>
      <c r="I37" s="124"/>
      <c r="J37" s="123"/>
      <c r="K37" s="123"/>
      <c r="L37" s="123"/>
      <c r="M37" s="123"/>
      <c r="N37" s="123"/>
      <c r="O37" s="123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</row>
    <row r="38" spans="1:249" ht="8.25" customHeight="1"/>
    <row r="39" spans="1:249" ht="24" customHeight="1">
      <c r="A39" s="63" t="s">
        <v>11</v>
      </c>
    </row>
    <row r="40" spans="1:249" ht="18" customHeight="1">
      <c r="A40" s="125" t="s">
        <v>40</v>
      </c>
    </row>
    <row r="41" spans="1:249" ht="24" customHeight="1">
      <c r="A41" s="125" t="s">
        <v>29</v>
      </c>
    </row>
    <row r="42" spans="1:249" ht="24" customHeight="1">
      <c r="A42" s="125" t="s">
        <v>57</v>
      </c>
    </row>
    <row r="43" spans="1:249" ht="18" customHeight="1">
      <c r="A43" s="125"/>
    </row>
    <row r="44" spans="1:249" ht="24" customHeight="1">
      <c r="A44" s="63"/>
      <c r="M44" s="11"/>
    </row>
    <row r="46" spans="1:249" ht="24" customHeight="1">
      <c r="M46" s="11"/>
    </row>
  </sheetData>
  <mergeCells count="2">
    <mergeCell ref="A18:C18"/>
    <mergeCell ref="E4:I4"/>
  </mergeCells>
  <phoneticPr fontId="3" type="noConversion"/>
  <pageMargins left="0.75" right="0.75" top="1" bottom="1" header="0.5" footer="0.5"/>
  <pageSetup paperSize="9" scale="53" orientation="portrait" r:id="rId1"/>
  <headerFooter alignWithMargins="0">
    <oddFooter>&amp;L&amp;F          &amp;A&amp;R&amp;D</oddFooter>
  </headerFooter>
  <ignoredErrors>
    <ignoredError sqref="F32:M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Balance Sheet Snapshot</vt:lpstr>
      <vt:lpstr>P&amp;L Snapshot</vt:lpstr>
      <vt:lpstr>'Balance Sheet Snapshot'!Print_Area</vt:lpstr>
      <vt:lpstr>'P&amp;L Snapshot'!Print_Area</vt:lpstr>
    </vt:vector>
  </TitlesOfParts>
  <Company>M &amp; 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Nozar Bharucha</dc:creator>
  <cp:lastModifiedBy>213398</cp:lastModifiedBy>
  <cp:lastPrinted>2013-06-04T11:58:51Z</cp:lastPrinted>
  <dcterms:created xsi:type="dcterms:W3CDTF">2006-06-14T10:43:28Z</dcterms:created>
  <dcterms:modified xsi:type="dcterms:W3CDTF">2015-09-03T06:43:04Z</dcterms:modified>
</cp:coreProperties>
</file>